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27835B5-3652-4464-9AF2-7587317F1318}"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Q50" i="52" l="1"/>
  <c r="AR50" i="52"/>
  <c r="AS50" i="52"/>
  <c r="AT50" i="52"/>
  <c r="AU50" i="52"/>
  <c r="AV50" i="52"/>
  <c r="AW50" i="52"/>
  <c r="AX50" i="52"/>
  <c r="H114" i="52"/>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AT114" i="52" s="1"/>
  <c r="AU114" i="52" s="1"/>
  <c r="AV114" i="52" s="1"/>
  <c r="AW114" i="52" s="1"/>
  <c r="AX114" i="52" s="1"/>
  <c r="C81" i="52"/>
  <c r="B81" i="52"/>
  <c r="M30" i="15" l="1"/>
  <c r="M24" i="15"/>
  <c r="B78" i="53"/>
  <c r="B77" i="53"/>
  <c r="B76" i="53"/>
  <c r="B74" i="53"/>
  <c r="B73" i="53"/>
  <c r="B72" i="53"/>
  <c r="B33" i="53"/>
  <c r="B34" i="53" s="1"/>
  <c r="AD29" i="5" l="1"/>
  <c r="AB29" i="5"/>
  <c r="R29" i="5"/>
  <c r="P29" i="5"/>
  <c r="K29" i="5"/>
  <c r="I29" i="5"/>
  <c r="G29" i="5"/>
  <c r="D29" i="5"/>
  <c r="B85"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4" i="15" s="1"/>
  <c r="F25" i="15"/>
  <c r="I30" i="15"/>
  <c r="I24" i="15"/>
  <c r="K30" i="15"/>
  <c r="K24" i="15"/>
  <c r="B125" i="52" l="1"/>
  <c r="B27" i="53" l="1"/>
  <c r="I26" i="5"/>
  <c r="G26" i="5"/>
  <c r="D30" i="15"/>
  <c r="D24" i="15"/>
  <c r="J30" i="15"/>
  <c r="J24" i="15"/>
  <c r="N30" i="15"/>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E29" i="15"/>
  <c r="E28" i="15"/>
  <c r="E27" i="15"/>
  <c r="E26" i="15"/>
  <c r="E25" i="15"/>
  <c r="E24" i="15" s="1"/>
  <c r="B140" i="52" l="1"/>
  <c r="F139" i="52"/>
  <c r="G139" i="52" s="1"/>
  <c r="H139" i="52" s="1"/>
  <c r="I139" i="52" s="1"/>
  <c r="C91" i="53" l="1"/>
  <c r="B91" i="53" l="1"/>
  <c r="B89" i="53"/>
  <c r="AD26" i="5"/>
  <c r="AD32" i="5" s="1"/>
  <c r="B29" i="53" s="1"/>
  <c r="B73" i="52" l="1"/>
  <c r="C48" i="52"/>
  <c r="D48" i="52"/>
  <c r="E48" i="52"/>
  <c r="F48" i="52"/>
  <c r="G48" i="52"/>
  <c r="H48" i="52"/>
  <c r="B49" i="52"/>
  <c r="B48"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107" i="52"/>
  <c r="B105" i="53" l="1"/>
  <c r="D26" i="5"/>
  <c r="C49" i="7"/>
  <c r="B68" i="53" l="1"/>
  <c r="B87" i="53" s="1"/>
  <c r="B80" i="53"/>
  <c r="B88" i="53"/>
  <c r="B90" i="53"/>
  <c r="C89" i="53"/>
  <c r="X30" i="15"/>
  <c r="X24" i="15"/>
  <c r="Q33" i="14" l="1"/>
  <c r="R33" i="14"/>
  <c r="B22" i="53"/>
  <c r="A15" i="53"/>
  <c r="B21" i="53" s="1"/>
  <c r="A12" i="53"/>
  <c r="A5" i="53"/>
  <c r="B66" i="53"/>
  <c r="B49" i="53"/>
  <c r="B32"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C50" i="15"/>
  <c r="AC49" i="15"/>
  <c r="C49" i="15"/>
  <c r="AC48" i="15"/>
  <c r="C48" i="15"/>
  <c r="AC47" i="15"/>
  <c r="C47" i="15"/>
  <c r="AC46" i="15"/>
  <c r="C46" i="15"/>
  <c r="AC45" i="15"/>
  <c r="C45" i="15"/>
  <c r="AC44" i="15"/>
  <c r="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W30" i="15"/>
  <c r="V30" i="15"/>
  <c r="U30" i="15"/>
  <c r="T30" i="15"/>
  <c r="S30" i="15"/>
  <c r="R30" i="15"/>
  <c r="Q30" i="15"/>
  <c r="P30" i="15"/>
  <c r="O30" i="15"/>
  <c r="L30" i="15"/>
  <c r="H30" i="15"/>
  <c r="G30" i="15"/>
  <c r="C30" i="15"/>
  <c r="C52" i="15" s="1"/>
  <c r="AC29" i="15"/>
  <c r="AB29" i="15"/>
  <c r="AC28" i="15"/>
  <c r="AB28" i="15"/>
  <c r="AC27" i="15"/>
  <c r="AB27" i="15"/>
  <c r="AC26" i="15"/>
  <c r="AB26" i="15"/>
  <c r="AC25" i="15"/>
  <c r="AB25" i="15"/>
  <c r="AA24" i="15"/>
  <c r="Z24" i="15"/>
  <c r="Y24" i="15"/>
  <c r="W24" i="15"/>
  <c r="V24" i="15"/>
  <c r="U24" i="15"/>
  <c r="T24" i="15"/>
  <c r="S24" i="15"/>
  <c r="R24" i="15"/>
  <c r="Q24" i="15"/>
  <c r="P24" i="15"/>
  <c r="O24" i="15"/>
  <c r="L24" i="15"/>
  <c r="H24" i="15"/>
  <c r="G24" i="15"/>
  <c r="C24" i="15"/>
  <c r="A15" i="16"/>
  <c r="A12" i="16"/>
  <c r="A5" i="16"/>
  <c r="AC30" i="15" l="1"/>
  <c r="AC24" i="15"/>
  <c r="C48" i="7" s="1"/>
  <c r="AB44" i="15"/>
  <c r="AB46" i="15"/>
  <c r="AB48" i="15"/>
  <c r="C54" i="15"/>
  <c r="AB54" i="15" s="1"/>
  <c r="AB45" i="15"/>
  <c r="C56" i="15"/>
  <c r="AB49" i="15"/>
  <c r="C57" i="15"/>
  <c r="B30" i="53"/>
  <c r="B83" i="53" s="1"/>
  <c r="B38" i="53"/>
  <c r="B51" i="53"/>
  <c r="B42" i="53"/>
  <c r="B55" i="53"/>
  <c r="B63" i="53"/>
  <c r="B46" i="53"/>
  <c r="B59" i="53"/>
  <c r="AB57" i="15"/>
  <c r="AB52" i="15"/>
  <c r="AB24" i="15"/>
  <c r="AB30" i="15"/>
  <c r="AB47" i="15"/>
  <c r="AB50" i="15"/>
  <c r="AB56" i="15" l="1"/>
  <c r="S33" i="14"/>
  <c r="B24" i="53" s="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AQ81" i="52" s="1"/>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B50" i="52"/>
  <c r="B59" i="52" s="1"/>
  <c r="G123" i="52"/>
  <c r="D58" i="52"/>
  <c r="D52" i="52" s="1"/>
  <c r="C74" i="52"/>
  <c r="B25" i="52"/>
  <c r="D67" i="52" s="1"/>
  <c r="C47" i="52"/>
  <c r="B29" i="52"/>
  <c r="B46" i="52"/>
  <c r="D111" i="52"/>
  <c r="D108" i="52" s="1"/>
  <c r="D50" i="52" s="1"/>
  <c r="C108" i="52"/>
  <c r="C143" i="52"/>
  <c r="C144" i="52" s="1"/>
  <c r="C50" i="52" l="1"/>
  <c r="C59" i="52" s="1"/>
  <c r="E140" i="52"/>
  <c r="E49" i="52" s="1"/>
  <c r="D76" i="52"/>
  <c r="B85" i="52"/>
  <c r="B99" i="52" s="1"/>
  <c r="C73" i="52"/>
  <c r="B80" i="52"/>
  <c r="B66" i="52"/>
  <c r="B68" i="52" s="1"/>
  <c r="B75" i="52" s="1"/>
  <c r="C76" i="52"/>
  <c r="C61" i="52"/>
  <c r="C60" i="52" s="1"/>
  <c r="C66" i="52" s="1"/>
  <c r="C68" i="52" s="1"/>
  <c r="E58" i="52"/>
  <c r="F58" i="52" s="1"/>
  <c r="B54" i="52"/>
  <c r="B55" i="52" s="1"/>
  <c r="B56" i="52" s="1"/>
  <c r="B69" i="52" s="1"/>
  <c r="B77" i="52" s="1"/>
  <c r="D74" i="52"/>
  <c r="D47" i="52"/>
  <c r="C80" i="52"/>
  <c r="E111" i="52"/>
  <c r="E108" i="52" s="1"/>
  <c r="E50" i="52" s="1"/>
  <c r="D143" i="52"/>
  <c r="F140" i="52" l="1"/>
  <c r="F49" i="52" s="1"/>
  <c r="E67" i="52"/>
  <c r="F67" i="52" s="1"/>
  <c r="F76" i="52" s="1"/>
  <c r="E74" i="52"/>
  <c r="E47" i="52"/>
  <c r="E52" i="52"/>
  <c r="D61" i="52"/>
  <c r="D60" i="52" s="1"/>
  <c r="B82" i="52"/>
  <c r="E143" i="52"/>
  <c r="E144" i="52" s="1"/>
  <c r="F111" i="52"/>
  <c r="F108" i="52" s="1"/>
  <c r="F50" i="52" s="1"/>
  <c r="G58" i="52"/>
  <c r="F52" i="52"/>
  <c r="F47" i="52"/>
  <c r="F74" i="52"/>
  <c r="B70" i="52"/>
  <c r="C75" i="52"/>
  <c r="C53" i="52"/>
  <c r="D144" i="52"/>
  <c r="D59" i="52"/>
  <c r="G140" i="52" l="1"/>
  <c r="G49" i="52" s="1"/>
  <c r="E76" i="52"/>
  <c r="G67" i="52"/>
  <c r="H67" i="52" s="1"/>
  <c r="E73" i="52"/>
  <c r="C85" i="52"/>
  <c r="C99" i="52" s="1"/>
  <c r="D73" i="52"/>
  <c r="D85" i="52" s="1"/>
  <c r="D99" i="52" s="1"/>
  <c r="E61" i="52"/>
  <c r="E60" i="52" s="1"/>
  <c r="E59" i="52"/>
  <c r="H140" i="52"/>
  <c r="H49" i="52" s="1"/>
  <c r="F61" i="52"/>
  <c r="F60" i="52" s="1"/>
  <c r="D80" i="52"/>
  <c r="D66" i="52"/>
  <c r="D68" i="52" s="1"/>
  <c r="I48" i="52"/>
  <c r="G111" i="52"/>
  <c r="G108" i="52" s="1"/>
  <c r="G50" i="52" s="1"/>
  <c r="C55" i="52"/>
  <c r="D53" i="52" s="1"/>
  <c r="B71" i="52"/>
  <c r="B72" i="52" s="1"/>
  <c r="G74" i="52"/>
  <c r="H58" i="52"/>
  <c r="G47" i="52"/>
  <c r="G52" i="52"/>
  <c r="F143" i="52"/>
  <c r="G76" i="52" l="1"/>
  <c r="G143" i="52"/>
  <c r="G144" i="52" s="1"/>
  <c r="F144" i="52"/>
  <c r="I67" i="52"/>
  <c r="H76" i="52"/>
  <c r="F59" i="52"/>
  <c r="I140" i="52"/>
  <c r="I49" i="52" s="1"/>
  <c r="G61" i="52"/>
  <c r="G60" i="52" s="1"/>
  <c r="H74" i="52"/>
  <c r="I58" i="52"/>
  <c r="H52" i="52"/>
  <c r="H47" i="52"/>
  <c r="D55" i="52"/>
  <c r="E53" i="52" s="1"/>
  <c r="J139" i="52"/>
  <c r="J48" i="52" s="1"/>
  <c r="D75" i="52"/>
  <c r="B78" i="52"/>
  <c r="H111" i="52"/>
  <c r="H108" i="52" s="1"/>
  <c r="H50" i="52" s="1"/>
  <c r="E80" i="52"/>
  <c r="E66" i="52"/>
  <c r="E68" i="52" s="1"/>
  <c r="C82" i="52"/>
  <c r="C56" i="52"/>
  <c r="C69" i="52" s="1"/>
  <c r="E85" i="52" l="1"/>
  <c r="E99" i="52" s="1"/>
  <c r="F73" i="52"/>
  <c r="F85" i="52" s="1"/>
  <c r="F99" i="52" s="1"/>
  <c r="G73" i="52"/>
  <c r="G59" i="52"/>
  <c r="G66" i="52" s="1"/>
  <c r="G68" i="52" s="1"/>
  <c r="E55" i="52"/>
  <c r="C77" i="52"/>
  <c r="C70" i="52"/>
  <c r="I74" i="52"/>
  <c r="J58" i="52"/>
  <c r="I52" i="52"/>
  <c r="I47" i="52"/>
  <c r="F80" i="52"/>
  <c r="F66" i="52"/>
  <c r="F68" i="52" s="1"/>
  <c r="J67" i="52"/>
  <c r="I76" i="52"/>
  <c r="I111" i="52"/>
  <c r="I108" i="52" s="1"/>
  <c r="I50" i="52" s="1"/>
  <c r="H143" i="52"/>
  <c r="D82" i="52"/>
  <c r="D56" i="52"/>
  <c r="D69" i="52" s="1"/>
  <c r="E75" i="52"/>
  <c r="K139" i="52"/>
  <c r="K48" i="52" s="1"/>
  <c r="J140" i="52"/>
  <c r="J49" i="52" s="1"/>
  <c r="H61" i="52"/>
  <c r="H60" i="52" s="1"/>
  <c r="G80" i="52" l="1"/>
  <c r="I143" i="52"/>
  <c r="L139" i="52"/>
  <c r="L48" i="52" s="1"/>
  <c r="H59" i="52"/>
  <c r="G75" i="52"/>
  <c r="K67" i="52"/>
  <c r="J76" i="52"/>
  <c r="J111" i="52"/>
  <c r="J108" i="52" s="1"/>
  <c r="J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K108" i="52" s="1"/>
  <c r="K50" i="52" s="1"/>
  <c r="M139" i="52"/>
  <c r="M48" i="52" s="1"/>
  <c r="F55" i="52"/>
  <c r="J143" i="52"/>
  <c r="C78" i="52"/>
  <c r="E77" i="52"/>
  <c r="E70" i="52"/>
  <c r="I144" i="52"/>
  <c r="H85" i="52" l="1"/>
  <c r="H99" i="52" s="1"/>
  <c r="I73" i="52"/>
  <c r="J59" i="52"/>
  <c r="D78" i="52"/>
  <c r="K143" i="52"/>
  <c r="L76" i="52"/>
  <c r="M67" i="52"/>
  <c r="E71" i="52"/>
  <c r="N139" i="52"/>
  <c r="N48" i="52" s="1"/>
  <c r="I80" i="52"/>
  <c r="I66" i="52"/>
  <c r="I68" i="52" s="1"/>
  <c r="H75" i="52"/>
  <c r="F82" i="52"/>
  <c r="F56" i="52"/>
  <c r="F69" i="52" s="1"/>
  <c r="M140" i="52"/>
  <c r="M49" i="52" s="1"/>
  <c r="K60" i="52"/>
  <c r="G53" i="52"/>
  <c r="L74" i="52"/>
  <c r="M58" i="52"/>
  <c r="L52" i="52"/>
  <c r="L47" i="52"/>
  <c r="L111" i="52"/>
  <c r="L108" i="52" s="1"/>
  <c r="L50" i="52" s="1"/>
  <c r="J144" i="52"/>
  <c r="I85" i="52" l="1"/>
  <c r="I99" i="52" s="1"/>
  <c r="J73" i="52"/>
  <c r="J80" i="52"/>
  <c r="J66" i="52"/>
  <c r="J68" i="52" s="1"/>
  <c r="J75" i="52" s="1"/>
  <c r="K59" i="52"/>
  <c r="N67" i="52"/>
  <c r="M76" i="52"/>
  <c r="M111" i="52"/>
  <c r="M108" i="52" s="1"/>
  <c r="M50" i="52" s="1"/>
  <c r="O139" i="52"/>
  <c r="O48" i="52" s="1"/>
  <c r="N140" i="52"/>
  <c r="N49" i="52" s="1"/>
  <c r="L60" i="52"/>
  <c r="I75" i="52"/>
  <c r="E78" i="52"/>
  <c r="L143" i="52"/>
  <c r="L144" i="52" s="1"/>
  <c r="M74" i="52"/>
  <c r="N58" i="52"/>
  <c r="M52" i="52"/>
  <c r="M47" i="52"/>
  <c r="G55" i="52"/>
  <c r="H53" i="52" s="1"/>
  <c r="F77" i="52"/>
  <c r="F70" i="52"/>
  <c r="E72" i="52"/>
  <c r="K144" i="52"/>
  <c r="L73" i="52" l="1"/>
  <c r="J85" i="52"/>
  <c r="J99" i="52" s="1"/>
  <c r="K73" i="52"/>
  <c r="K85" i="52" s="1"/>
  <c r="K99" i="52" s="1"/>
  <c r="O140" i="52"/>
  <c r="O49" i="52" s="1"/>
  <c r="M60" i="52"/>
  <c r="M143" i="52"/>
  <c r="M144" i="52" s="1"/>
  <c r="N76" i="52"/>
  <c r="O67" i="52"/>
  <c r="H55" i="52"/>
  <c r="G82" i="52"/>
  <c r="G56" i="52"/>
  <c r="G69" i="52" s="1"/>
  <c r="O58" i="52"/>
  <c r="N52" i="52"/>
  <c r="N47" i="52"/>
  <c r="N74" i="52"/>
  <c r="P139" i="52"/>
  <c r="P48" i="52" s="1"/>
  <c r="L59" i="52"/>
  <c r="K80" i="52"/>
  <c r="K66" i="52"/>
  <c r="K68" i="52" s="1"/>
  <c r="N111" i="52"/>
  <c r="N108" i="52" s="1"/>
  <c r="N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O108" i="52" s="1"/>
  <c r="O50" i="52" s="1"/>
  <c r="I53" i="52"/>
  <c r="M85" i="52" l="1"/>
  <c r="M99" i="52" s="1"/>
  <c r="N73" i="52"/>
  <c r="N59" i="52"/>
  <c r="M66" i="52"/>
  <c r="M68" i="52" s="1"/>
  <c r="M75" i="52" s="1"/>
  <c r="P111" i="52"/>
  <c r="P108" i="52" s="1"/>
  <c r="P50" i="52" s="1"/>
  <c r="L75" i="52"/>
  <c r="G71" i="52"/>
  <c r="G72" i="52" s="1"/>
  <c r="P74" i="52"/>
  <c r="Q58" i="52"/>
  <c r="P52" i="52"/>
  <c r="P47" i="52"/>
  <c r="I55" i="52"/>
  <c r="J53" i="52" s="1"/>
  <c r="Q140" i="52"/>
  <c r="Q49" i="52" s="1"/>
  <c r="O60" i="52"/>
  <c r="R139" i="52"/>
  <c r="R48" i="52" s="1"/>
  <c r="P76" i="52"/>
  <c r="Q67" i="52"/>
  <c r="O143" i="52"/>
  <c r="O144" i="52" s="1"/>
  <c r="H77" i="52"/>
  <c r="H70" i="52"/>
  <c r="N85" i="52" l="1"/>
  <c r="N99" i="52" s="1"/>
  <c r="O73" i="52"/>
  <c r="N80" i="52"/>
  <c r="N66" i="52"/>
  <c r="N68" i="52" s="1"/>
  <c r="N75" i="52" s="1"/>
  <c r="J55" i="52"/>
  <c r="K53" i="52" s="1"/>
  <c r="P143" i="52"/>
  <c r="P144" i="52" s="1"/>
  <c r="Q76" i="52"/>
  <c r="R67" i="52"/>
  <c r="Q74" i="52"/>
  <c r="R58" i="52"/>
  <c r="Q47" i="52"/>
  <c r="Q52" i="52"/>
  <c r="S139" i="52"/>
  <c r="S48" i="52" s="1"/>
  <c r="O59" i="52"/>
  <c r="I82" i="52"/>
  <c r="I56" i="52"/>
  <c r="I69" i="52" s="1"/>
  <c r="H71" i="52"/>
  <c r="H72" i="52" s="1"/>
  <c r="R140" i="52"/>
  <c r="R49" i="52" s="1"/>
  <c r="P60" i="52"/>
  <c r="G78" i="52"/>
  <c r="Q111" i="52"/>
  <c r="Q108" i="52" s="1"/>
  <c r="Q50" i="52" s="1"/>
  <c r="O85" i="52" l="1"/>
  <c r="O99" i="52" s="1"/>
  <c r="P73" i="52"/>
  <c r="H78" i="52"/>
  <c r="K55" i="52"/>
  <c r="L53" i="52" s="1"/>
  <c r="S140" i="52"/>
  <c r="S49" i="52" s="1"/>
  <c r="Q60" i="52"/>
  <c r="O80" i="52"/>
  <c r="O66" i="52"/>
  <c r="O68" i="52" s="1"/>
  <c r="Q143" i="52"/>
  <c r="Q144" i="52" s="1"/>
  <c r="R111" i="52"/>
  <c r="R108" i="52" s="1"/>
  <c r="R50" i="52" s="1"/>
  <c r="R76" i="52"/>
  <c r="S67" i="52"/>
  <c r="S58" i="52"/>
  <c r="R52" i="52"/>
  <c r="R47" i="52"/>
  <c r="R74" i="52"/>
  <c r="P59" i="52"/>
  <c r="I77" i="52"/>
  <c r="I70" i="52"/>
  <c r="T139" i="52"/>
  <c r="T48" i="52" s="1"/>
  <c r="J82" i="52"/>
  <c r="J56" i="52"/>
  <c r="J69" i="52" s="1"/>
  <c r="P85" i="52" l="1"/>
  <c r="P99" i="52" s="1"/>
  <c r="Q73" i="52"/>
  <c r="Q59" i="52"/>
  <c r="T140" i="52"/>
  <c r="T49" i="52" s="1"/>
  <c r="S111" i="52"/>
  <c r="S108" i="52" s="1"/>
  <c r="S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T108" i="52" s="1"/>
  <c r="T50" i="52" s="1"/>
  <c r="T74" i="52"/>
  <c r="U58" i="52"/>
  <c r="T52" i="52"/>
  <c r="T47" i="52"/>
  <c r="J71" i="52"/>
  <c r="J78" i="52" s="1"/>
  <c r="L82" i="52"/>
  <c r="L56" i="52"/>
  <c r="L69" i="52" s="1"/>
  <c r="K77" i="52"/>
  <c r="K70" i="52"/>
  <c r="R59" i="52"/>
  <c r="Q80" i="52"/>
  <c r="Q66" i="52"/>
  <c r="Q68" i="52" s="1"/>
  <c r="R85" i="52" l="1"/>
  <c r="R99" i="52" s="1"/>
  <c r="S73" i="52"/>
  <c r="U111" i="52"/>
  <c r="U108" i="52" s="1"/>
  <c r="U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V111" i="52"/>
  <c r="V108" i="52" s="1"/>
  <c r="V50" i="52" s="1"/>
  <c r="S85" i="52" l="1"/>
  <c r="S99" i="52" s="1"/>
  <c r="T73" i="52"/>
  <c r="U59" i="52"/>
  <c r="U66" i="52" s="1"/>
  <c r="U68" i="52" s="1"/>
  <c r="L72" i="52"/>
  <c r="O55" i="52"/>
  <c r="P53" i="52" s="1"/>
  <c r="W111" i="52"/>
  <c r="W108" i="52" s="1"/>
  <c r="W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U80" i="52" l="1"/>
  <c r="T85" i="52"/>
  <c r="T99" i="52" s="1"/>
  <c r="U73" i="52"/>
  <c r="U85" i="52" s="1"/>
  <c r="U99" i="52" s="1"/>
  <c r="V73" i="52"/>
  <c r="V59" i="52"/>
  <c r="V80" i="52" s="1"/>
  <c r="M72" i="52"/>
  <c r="Y140" i="52"/>
  <c r="Y49" i="52" s="1"/>
  <c r="W60" i="52"/>
  <c r="N77" i="52"/>
  <c r="N70" i="52"/>
  <c r="T75" i="52"/>
  <c r="X74" i="52"/>
  <c r="Y58" i="52"/>
  <c r="X52" i="52"/>
  <c r="X47" i="52"/>
  <c r="P55" i="52"/>
  <c r="Q53" i="52" s="1"/>
  <c r="Z139" i="52"/>
  <c r="Z48" i="52" s="1"/>
  <c r="X111" i="52"/>
  <c r="X108" i="52" s="1"/>
  <c r="X50" i="52" s="1"/>
  <c r="Y67" i="52"/>
  <c r="X76" i="52"/>
  <c r="W143" i="52"/>
  <c r="W144" i="52" s="1"/>
  <c r="U75" i="52"/>
  <c r="O82" i="52"/>
  <c r="O56" i="52"/>
  <c r="O69" i="52" s="1"/>
  <c r="V85" i="52" l="1"/>
  <c r="V99" i="52" s="1"/>
  <c r="W73" i="52"/>
  <c r="V66" i="52"/>
  <c r="V68" i="52" s="1"/>
  <c r="V75" i="52" s="1"/>
  <c r="W59" i="52"/>
  <c r="W66" i="52" s="1"/>
  <c r="W68" i="52" s="1"/>
  <c r="O77" i="52"/>
  <c r="O70" i="52"/>
  <c r="X143" i="52"/>
  <c r="X144" i="52" s="1"/>
  <c r="Y76" i="52"/>
  <c r="Z67" i="52"/>
  <c r="AA139" i="52"/>
  <c r="AA48" i="52" s="1"/>
  <c r="Y74" i="52"/>
  <c r="Z58" i="52"/>
  <c r="Y52" i="52"/>
  <c r="Y47" i="52"/>
  <c r="N71" i="52"/>
  <c r="N78" i="52" s="1"/>
  <c r="Z140" i="52"/>
  <c r="Z49" i="52" s="1"/>
  <c r="X60" i="52"/>
  <c r="Y111" i="52"/>
  <c r="Y108" i="52" s="1"/>
  <c r="Y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Z108" i="52" s="1"/>
  <c r="Z50" i="52" s="1"/>
  <c r="AA58" i="52"/>
  <c r="Z52" i="52"/>
  <c r="Z47" i="52"/>
  <c r="Z74" i="52"/>
  <c r="Q56" i="52"/>
  <c r="Q69" i="52" s="1"/>
  <c r="Q82" i="52"/>
  <c r="AA140" i="52"/>
  <c r="AA49" i="52" s="1"/>
  <c r="Y60" i="52"/>
  <c r="X80" i="52" l="1"/>
  <c r="AA111" i="52"/>
  <c r="AA108" i="52" s="1"/>
  <c r="AA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X85" i="52" l="1"/>
  <c r="X99" i="52" s="1"/>
  <c r="Y73" i="52"/>
  <c r="Y85" i="52"/>
  <c r="Y99" i="52" s="1"/>
  <c r="Z73" i="52"/>
  <c r="Z59" i="52"/>
  <c r="Z80" i="52" s="1"/>
  <c r="P72" i="52"/>
  <c r="Y80" i="52"/>
  <c r="Y66" i="52"/>
  <c r="Y68" i="52" s="1"/>
  <c r="Z66" i="52"/>
  <c r="Z68" i="52" s="1"/>
  <c r="Q71" i="52"/>
  <c r="Q78" i="52" s="1"/>
  <c r="AB76" i="52"/>
  <c r="AC67" i="52"/>
  <c r="AA143" i="52"/>
  <c r="AA144" i="52" s="1"/>
  <c r="AD139" i="52"/>
  <c r="AD48" i="52" s="1"/>
  <c r="AB74" i="52"/>
  <c r="AC58" i="52"/>
  <c r="AB52" i="52"/>
  <c r="AB47" i="52"/>
  <c r="AC140" i="52"/>
  <c r="AC49" i="52" s="1"/>
  <c r="AA60" i="52"/>
  <c r="R77" i="52"/>
  <c r="R70" i="52"/>
  <c r="S55" i="52"/>
  <c r="T53" i="52" s="1"/>
  <c r="AB111" i="52"/>
  <c r="AB108" i="52" s="1"/>
  <c r="AB50" i="52" s="1"/>
  <c r="Z85" i="52" l="1"/>
  <c r="Z99" i="52" s="1"/>
  <c r="AA73" i="52"/>
  <c r="Q72" i="52"/>
  <c r="AC111" i="52"/>
  <c r="AC108" i="52" s="1"/>
  <c r="AC50" i="52" s="1"/>
  <c r="AA59" i="52"/>
  <c r="R71" i="52"/>
  <c r="R78" i="52" s="1"/>
  <c r="Z75" i="52"/>
  <c r="S82" i="52"/>
  <c r="S56" i="52"/>
  <c r="S69" i="52" s="1"/>
  <c r="AC74" i="52"/>
  <c r="AD58" i="52"/>
  <c r="AC52" i="52"/>
  <c r="AC47" i="52"/>
  <c r="AB143" i="52"/>
  <c r="AC76" i="52"/>
  <c r="AD67" i="52"/>
  <c r="AE139" i="52"/>
  <c r="AE48" i="52" s="1"/>
  <c r="T55" i="52"/>
  <c r="U53" i="52" s="1"/>
  <c r="AD140" i="52"/>
  <c r="AD49" i="52" s="1"/>
  <c r="AB60" i="52"/>
  <c r="Y75" i="52"/>
  <c r="AB59" i="52" l="1"/>
  <c r="R72" i="52"/>
  <c r="U55" i="52"/>
  <c r="V53" i="52" s="1"/>
  <c r="AC143" i="52"/>
  <c r="AC144" i="52" s="1"/>
  <c r="AB80" i="52"/>
  <c r="AB66" i="52"/>
  <c r="AB68" i="52" s="1"/>
  <c r="T82" i="52"/>
  <c r="T56" i="52"/>
  <c r="T69" i="52" s="1"/>
  <c r="AD76" i="52"/>
  <c r="AE67" i="52"/>
  <c r="S77" i="52"/>
  <c r="S70" i="52"/>
  <c r="AE140" i="52"/>
  <c r="AE49" i="52" s="1"/>
  <c r="AC60" i="52"/>
  <c r="AF139" i="52"/>
  <c r="AF48" i="52" s="1"/>
  <c r="AB144" i="52"/>
  <c r="AE58" i="52"/>
  <c r="AD52" i="52"/>
  <c r="AD47" i="52"/>
  <c r="AD74" i="52"/>
  <c r="AA80" i="52"/>
  <c r="AA66" i="52"/>
  <c r="AA68" i="52" s="1"/>
  <c r="AD111" i="52"/>
  <c r="AD108" i="52" s="1"/>
  <c r="AD50" i="52" s="1"/>
  <c r="AC73" i="52" l="1"/>
  <c r="AA85" i="52"/>
  <c r="AA99" i="52" s="1"/>
  <c r="AB73" i="52"/>
  <c r="AB85" i="52" s="1"/>
  <c r="AB99" i="52" s="1"/>
  <c r="AC59" i="52"/>
  <c r="AC80" i="52" s="1"/>
  <c r="V55" i="52"/>
  <c r="W53" i="52" s="1"/>
  <c r="AF140" i="52"/>
  <c r="AF49" i="52" s="1"/>
  <c r="AD60" i="52"/>
  <c r="AE76" i="52"/>
  <c r="AF67" i="52"/>
  <c r="S71" i="52"/>
  <c r="S78" i="52" s="1"/>
  <c r="AB75" i="52"/>
  <c r="AD143" i="52"/>
  <c r="AD144" i="52" s="1"/>
  <c r="U82" i="52"/>
  <c r="U56" i="52"/>
  <c r="U69" i="52" s="1"/>
  <c r="AA75" i="52"/>
  <c r="AG139" i="52"/>
  <c r="AG48" i="52" s="1"/>
  <c r="T77" i="52"/>
  <c r="T70" i="52"/>
  <c r="AE111" i="52"/>
  <c r="AE108" i="52" s="1"/>
  <c r="AE50" i="52" s="1"/>
  <c r="AE74" i="52"/>
  <c r="AE47" i="52"/>
  <c r="AF58" i="52"/>
  <c r="AE52" i="52"/>
  <c r="AC85" i="52" l="1"/>
  <c r="AC99" i="52" s="1"/>
  <c r="AD73" i="52"/>
  <c r="AD59" i="52"/>
  <c r="AD80" i="52" s="1"/>
  <c r="AC66" i="52"/>
  <c r="AC68" i="52" s="1"/>
  <c r="AC75" i="52" s="1"/>
  <c r="S72" i="52"/>
  <c r="AF74" i="52"/>
  <c r="AG58" i="52"/>
  <c r="AF52" i="52"/>
  <c r="AF47" i="52"/>
  <c r="AF111" i="52"/>
  <c r="AF108" i="52" s="1"/>
  <c r="AF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66" i="52"/>
  <c r="AD68" i="52" s="1"/>
  <c r="AD75" i="52" s="1"/>
  <c r="T72" i="52"/>
  <c r="W82" i="52"/>
  <c r="W56" i="52"/>
  <c r="W69" i="52" s="1"/>
  <c r="V77" i="52"/>
  <c r="V70" i="52"/>
  <c r="X53" i="52"/>
  <c r="AG76" i="52"/>
  <c r="AH67" i="52"/>
  <c r="AI139" i="52"/>
  <c r="AI48" i="52" s="1"/>
  <c r="U71" i="52"/>
  <c r="U78" i="52" s="1"/>
  <c r="AE59" i="52"/>
  <c r="AG74" i="52"/>
  <c r="AH58" i="52"/>
  <c r="AG47" i="52"/>
  <c r="AG52" i="52"/>
  <c r="AH140" i="52"/>
  <c r="AH49" i="52" s="1"/>
  <c r="AF61" i="52"/>
  <c r="AF60" i="52" s="1"/>
  <c r="AF143" i="52"/>
  <c r="AG111" i="52"/>
  <c r="AG108" i="52" s="1"/>
  <c r="AG50" i="52" s="1"/>
  <c r="AF59" i="52" l="1"/>
  <c r="AG143" i="52"/>
  <c r="AG144" i="52" s="1"/>
  <c r="AE80" i="52"/>
  <c r="AE66" i="52"/>
  <c r="AE68" i="52" s="1"/>
  <c r="AH76" i="52"/>
  <c r="AI67" i="52"/>
  <c r="AF144" i="52"/>
  <c r="AI58" i="52"/>
  <c r="AH52" i="52"/>
  <c r="AH47" i="52"/>
  <c r="AH74" i="52"/>
  <c r="U72" i="52"/>
  <c r="V71" i="52"/>
  <c r="V78" i="52" s="1"/>
  <c r="AI140" i="52"/>
  <c r="AI49" i="52" s="1"/>
  <c r="AG60" i="52"/>
  <c r="X55" i="52"/>
  <c r="Y53" i="52" s="1"/>
  <c r="AF80" i="52"/>
  <c r="AF66" i="52"/>
  <c r="AF68" i="52" s="1"/>
  <c r="AJ139" i="52"/>
  <c r="AJ48" i="52" s="1"/>
  <c r="AH111" i="52"/>
  <c r="AH108" i="52" s="1"/>
  <c r="AH50" i="52" s="1"/>
  <c r="W77" i="52"/>
  <c r="W70" i="52"/>
  <c r="AG73" i="52" l="1"/>
  <c r="AE85" i="52"/>
  <c r="AE99" i="52" s="1"/>
  <c r="AF73" i="52"/>
  <c r="AF85" i="52" s="1"/>
  <c r="AF99" i="52" s="1"/>
  <c r="W71" i="52"/>
  <c r="W78" i="52" s="1"/>
  <c r="AI74" i="52"/>
  <c r="AJ58" i="52"/>
  <c r="AI52" i="52"/>
  <c r="AI47" i="52"/>
  <c r="AG59" i="52"/>
  <c r="Y55" i="52"/>
  <c r="AI76" i="52"/>
  <c r="AJ67" i="52"/>
  <c r="AI111" i="52"/>
  <c r="AI108" i="52" s="1"/>
  <c r="AI50" i="52" s="1"/>
  <c r="AF75" i="52"/>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J108" i="52" s="1"/>
  <c r="AJ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K111" i="52"/>
  <c r="AK108" i="52" s="1"/>
  <c r="AK50" i="52" s="1"/>
  <c r="AG75" i="52"/>
  <c r="AM139" i="52"/>
  <c r="AM48" i="52" s="1"/>
  <c r="AJ73" i="52" l="1"/>
  <c r="AH85" i="52"/>
  <c r="AH99" i="52" s="1"/>
  <c r="AI73" i="52"/>
  <c r="AI85" i="52" s="1"/>
  <c r="AI99" i="52" s="1"/>
  <c r="AJ59" i="52"/>
  <c r="AJ66" i="52" s="1"/>
  <c r="AJ68" i="52" s="1"/>
  <c r="X72" i="52"/>
  <c r="AN139" i="52"/>
  <c r="AN48" i="52" s="1"/>
  <c r="Z82" i="52"/>
  <c r="Z56" i="52"/>
  <c r="Z69" i="52" s="1"/>
  <c r="AM140" i="52"/>
  <c r="AM49" i="52" s="1"/>
  <c r="AK60" i="52"/>
  <c r="AK143" i="52"/>
  <c r="AH75" i="52"/>
  <c r="AI80" i="52"/>
  <c r="AI66" i="52"/>
  <c r="AI68" i="52" s="1"/>
  <c r="AL76" i="52"/>
  <c r="AM67" i="52"/>
  <c r="AL111" i="52"/>
  <c r="AL108" i="52" s="1"/>
  <c r="AL50" i="52" s="1"/>
  <c r="AA53" i="52"/>
  <c r="Y71" i="52"/>
  <c r="Y78" i="52" s="1"/>
  <c r="AM58" i="52"/>
  <c r="AL52" i="52"/>
  <c r="AL47" i="52"/>
  <c r="AL74" i="52"/>
  <c r="AJ80" i="52" l="1"/>
  <c r="AK59" i="52"/>
  <c r="AK66" i="52" s="1"/>
  <c r="AK68" i="52" s="1"/>
  <c r="Z77" i="52"/>
  <c r="Z70" i="52"/>
  <c r="Y72" i="52"/>
  <c r="AM76" i="52"/>
  <c r="AN67" i="52"/>
  <c r="AI75" i="52"/>
  <c r="AL143" i="52"/>
  <c r="AL144" i="52" s="1"/>
  <c r="AN140" i="52"/>
  <c r="AN49" i="52" s="1"/>
  <c r="AL61" i="52"/>
  <c r="AL60" i="52" s="1"/>
  <c r="AJ75" i="52"/>
  <c r="AA55" i="52"/>
  <c r="AM74" i="52"/>
  <c r="AN58" i="52"/>
  <c r="AM47" i="52"/>
  <c r="AM52" i="52"/>
  <c r="AM111" i="52"/>
  <c r="AM108" i="52" s="1"/>
  <c r="AM50" i="52" s="1"/>
  <c r="AK144" i="52"/>
  <c r="AO139" i="52"/>
  <c r="AO48" i="52" s="1"/>
  <c r="AJ85" i="52" l="1"/>
  <c r="AJ99" i="52" s="1"/>
  <c r="AK73" i="52"/>
  <c r="AK85" i="52"/>
  <c r="AK99" i="52" s="1"/>
  <c r="AL73" i="52"/>
  <c r="AK80" i="52"/>
  <c r="AK75" i="52"/>
  <c r="AN111" i="52"/>
  <c r="AN108" i="52" s="1"/>
  <c r="AN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O111" i="52"/>
  <c r="AO108" i="52" s="1"/>
  <c r="AO50" i="52" s="1"/>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Q140" i="52"/>
  <c r="AO60" i="52"/>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P108" i="52" l="1"/>
  <c r="AP50" i="52" s="1"/>
  <c r="AM85" i="52"/>
  <c r="AM99" i="52" s="1"/>
  <c r="AN73" i="52"/>
  <c r="AN85" i="52" s="1"/>
  <c r="AN99" i="52" s="1"/>
  <c r="AO73" i="52"/>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83" i="52" l="1"/>
  <c r="N86" i="52" s="1"/>
  <c r="Y83" i="52"/>
  <c r="Y86" i="52" s="1"/>
  <c r="AM83" i="52"/>
  <c r="AM86" i="52" s="1"/>
  <c r="AO83" i="52"/>
  <c r="AO86" i="52"/>
  <c r="AN83" i="52"/>
  <c r="AN86" i="52" s="1"/>
  <c r="AA83" i="52"/>
  <c r="AA86" i="52" s="1"/>
  <c r="AJ83" i="52"/>
  <c r="AJ86" i="52" s="1"/>
  <c r="M83" i="52"/>
  <c r="M86" i="52" s="1"/>
  <c r="L83" i="52"/>
  <c r="L86" i="52" s="1"/>
  <c r="AE83" i="52"/>
  <c r="AE86" i="52" s="1"/>
  <c r="H83" i="52"/>
  <c r="H86" i="52" s="1"/>
  <c r="D83" i="52"/>
  <c r="D86" i="52" s="1"/>
  <c r="S83" i="52"/>
  <c r="S86" i="52" s="1"/>
  <c r="AB83" i="52"/>
  <c r="AB86" i="52" s="1"/>
  <c r="AH83" i="52"/>
  <c r="AH86" i="52" s="1"/>
  <c r="G83" i="52"/>
  <c r="G86" i="52" s="1"/>
  <c r="AP83" i="52"/>
  <c r="AP86" i="52" s="1"/>
  <c r="AF83" i="52"/>
  <c r="AF86" i="52" s="1"/>
  <c r="Z83" i="52"/>
  <c r="Z86" i="52" s="1"/>
  <c r="U83" i="52"/>
  <c r="U86" i="52" s="1"/>
  <c r="E83" i="52"/>
  <c r="E86" i="52" s="1"/>
  <c r="AG83" i="52"/>
  <c r="AG86" i="52" s="1"/>
  <c r="AL83" i="52"/>
  <c r="AL86" i="52" s="1"/>
  <c r="O83" i="52"/>
  <c r="O86" i="52" s="1"/>
  <c r="W83" i="52"/>
  <c r="W86" i="52" s="1"/>
  <c r="C83" i="52"/>
  <c r="C86" i="52" s="1"/>
  <c r="AI83" i="52"/>
  <c r="AI86" i="52" s="1"/>
  <c r="AC83" i="52"/>
  <c r="AC86" i="52" s="1"/>
  <c r="J83" i="52"/>
  <c r="J86" i="52" s="1"/>
  <c r="R83" i="52"/>
  <c r="R86" i="52" s="1"/>
  <c r="P83" i="52"/>
  <c r="P86" i="52" s="1"/>
  <c r="I83" i="52"/>
  <c r="I86" i="52" s="1"/>
  <c r="AK83" i="52"/>
  <c r="AK86" i="52" s="1"/>
  <c r="F83" i="52"/>
  <c r="F86" i="52" s="1"/>
  <c r="K83" i="52"/>
  <c r="K86" i="52" s="1"/>
  <c r="Q83" i="52"/>
  <c r="Q86" i="52" s="1"/>
  <c r="T83" i="52"/>
  <c r="T86" i="52" s="1"/>
  <c r="X83" i="52"/>
  <c r="X86" i="52" s="1"/>
  <c r="V83" i="52"/>
  <c r="V86" i="52" s="1"/>
  <c r="AD83" i="52"/>
  <c r="AD86" i="52" s="1"/>
  <c r="B83" i="52"/>
  <c r="AK88" i="52" s="1"/>
  <c r="B84" i="52" l="1"/>
  <c r="B89" i="52" s="1"/>
  <c r="B86" i="52"/>
  <c r="AN87" i="52" s="1"/>
  <c r="AO84" i="52"/>
  <c r="AM84" i="52"/>
  <c r="R84" i="52"/>
  <c r="AK84" i="52"/>
  <c r="X84" i="52"/>
  <c r="AJ84" i="52"/>
  <c r="M84" i="52"/>
  <c r="U84" i="52"/>
  <c r="Z84" i="52"/>
  <c r="K84" i="52"/>
  <c r="AF84" i="52"/>
  <c r="AE84" i="52"/>
  <c r="AD84" i="52"/>
  <c r="O88" i="52"/>
  <c r="S88" i="52"/>
  <c r="T88" i="52"/>
  <c r="AO88" i="52"/>
  <c r="AA88" i="52"/>
  <c r="Q88" i="52"/>
  <c r="AD88" i="52"/>
  <c r="V88" i="52"/>
  <c r="P88" i="52"/>
  <c r="AM88" i="52"/>
  <c r="T84" i="52"/>
  <c r="AE87" i="52"/>
  <c r="Y84" i="52"/>
  <c r="Y89" i="52" s="1"/>
  <c r="K87" i="52"/>
  <c r="AP87" i="52"/>
  <c r="AK87" i="52"/>
  <c r="AH84" i="52"/>
  <c r="C84" i="52"/>
  <c r="C89" i="52" s="1"/>
  <c r="H87" i="52"/>
  <c r="S84" i="52"/>
  <c r="S89" i="52" s="1"/>
  <c r="L88" i="52"/>
  <c r="B105" i="52" s="1"/>
  <c r="J84" i="52"/>
  <c r="AD87" i="52"/>
  <c r="AL87" i="52"/>
  <c r="AL90" i="52" s="1"/>
  <c r="D87" i="52"/>
  <c r="U87" i="52"/>
  <c r="N84" i="52"/>
  <c r="N89" i="52" s="1"/>
  <c r="P84" i="52"/>
  <c r="X87" i="52"/>
  <c r="AB84" i="52"/>
  <c r="AC84" i="52"/>
  <c r="W87" i="52"/>
  <c r="AC87" i="52"/>
  <c r="G84" i="52"/>
  <c r="L84" i="52"/>
  <c r="L89" i="52" s="1"/>
  <c r="R88" i="52"/>
  <c r="D88" i="52"/>
  <c r="AF88" i="52"/>
  <c r="X88" i="52"/>
  <c r="Y88" i="52"/>
  <c r="AH88" i="52"/>
  <c r="AE88" i="52"/>
  <c r="J88" i="52"/>
  <c r="E88" i="52"/>
  <c r="AN88" i="52"/>
  <c r="V84" i="52"/>
  <c r="I84" i="52"/>
  <c r="H84" i="52"/>
  <c r="AJ88" i="52"/>
  <c r="AG88" i="52"/>
  <c r="G88" i="52"/>
  <c r="AI88" i="52"/>
  <c r="Z88" i="52"/>
  <c r="AL88" i="52"/>
  <c r="C88" i="52"/>
  <c r="AC88" i="52"/>
  <c r="AP88" i="52"/>
  <c r="K88" i="52"/>
  <c r="AL84" i="52"/>
  <c r="AL89" i="52" s="1"/>
  <c r="O84" i="52"/>
  <c r="C87" i="52"/>
  <c r="AA84" i="52"/>
  <c r="D84" i="52"/>
  <c r="L87" i="52"/>
  <c r="Z87" i="52"/>
  <c r="AG84" i="52"/>
  <c r="AG89" i="52" s="1"/>
  <c r="M87" i="52"/>
  <c r="E84" i="52"/>
  <c r="E89" i="52" s="1"/>
  <c r="F87" i="52"/>
  <c r="F84" i="52"/>
  <c r="Q84" i="52"/>
  <c r="AI84" i="52"/>
  <c r="V87" i="52"/>
  <c r="AB87" i="52"/>
  <c r="AG87" i="52"/>
  <c r="AP84" i="52"/>
  <c r="AP89" i="52" s="1"/>
  <c r="AA87" i="52"/>
  <c r="AA90" i="52" s="1"/>
  <c r="AN84" i="52"/>
  <c r="AN89" i="52" s="1"/>
  <c r="AJ87" i="52"/>
  <c r="J87" i="52"/>
  <c r="P87" i="52"/>
  <c r="W84" i="52"/>
  <c r="AB88" i="52"/>
  <c r="I88" i="52"/>
  <c r="H88" i="52"/>
  <c r="N88" i="52"/>
  <c r="M88" i="52"/>
  <c r="F88" i="52"/>
  <c r="B88" i="52"/>
  <c r="U88" i="52"/>
  <c r="W88" i="52"/>
  <c r="AA89" i="52" l="1"/>
  <c r="W89" i="52"/>
  <c r="N87" i="52"/>
  <c r="O89" i="52"/>
  <c r="AH87" i="52"/>
  <c r="AH90" i="52" s="1"/>
  <c r="Q89" i="52"/>
  <c r="R87" i="52"/>
  <c r="E87" i="52"/>
  <c r="E90" i="52" s="1"/>
  <c r="V90" i="52"/>
  <c r="Q87" i="52"/>
  <c r="AM87" i="52"/>
  <c r="AM90" i="52" s="1"/>
  <c r="I87" i="52"/>
  <c r="I90" i="52" s="1"/>
  <c r="Y87" i="52"/>
  <c r="Y90" i="52" s="1"/>
  <c r="H89" i="52"/>
  <c r="G87" i="52"/>
  <c r="H90" i="52" s="1"/>
  <c r="V89" i="52"/>
  <c r="T87" i="52"/>
  <c r="U90" i="52" s="1"/>
  <c r="O87" i="52"/>
  <c r="P90" i="52" s="1"/>
  <c r="AO87" i="52"/>
  <c r="AO90" i="52" s="1"/>
  <c r="B87" i="52"/>
  <c r="B90" i="52" s="1"/>
  <c r="AI87" i="52"/>
  <c r="AI90" i="52" s="1"/>
  <c r="S87" i="52"/>
  <c r="S90" i="52" s="1"/>
  <c r="AF87" i="52"/>
  <c r="AF90" i="52" s="1"/>
  <c r="AI89" i="52"/>
  <c r="Z90" i="52"/>
  <c r="D89" i="52"/>
  <c r="C90" i="52"/>
  <c r="AE89" i="52"/>
  <c r="J90" i="52"/>
  <c r="AJ90" i="52"/>
  <c r="X90" i="52"/>
  <c r="AE90" i="52"/>
  <c r="AK89" i="52"/>
  <c r="F89" i="52"/>
  <c r="G90" i="52"/>
  <c r="G89" i="52"/>
  <c r="AB89" i="52"/>
  <c r="J89" i="52"/>
  <c r="K90" i="52"/>
  <c r="AD89" i="52"/>
  <c r="O90" i="52"/>
  <c r="M89" i="52"/>
  <c r="X89" i="52"/>
  <c r="AM89" i="52"/>
  <c r="G30" i="52"/>
  <c r="A105" i="52" s="1"/>
  <c r="L90" i="52"/>
  <c r="AC90" i="52"/>
  <c r="D90" i="52"/>
  <c r="AH89" i="52"/>
  <c r="Q90" i="52"/>
  <c r="AO89" i="52"/>
  <c r="AG90" i="52"/>
  <c r="M90" i="52"/>
  <c r="I89" i="52"/>
  <c r="W90" i="52"/>
  <c r="P89" i="52"/>
  <c r="AK90" i="52"/>
  <c r="N90" i="52"/>
  <c r="AF89" i="52"/>
  <c r="Z89" i="52"/>
  <c r="AJ89" i="52"/>
  <c r="R89" i="52"/>
  <c r="AN90" i="52"/>
  <c r="AB90" i="52"/>
  <c r="AC89" i="52"/>
  <c r="AD90" i="52"/>
  <c r="A101" i="52"/>
  <c r="B102" i="52" s="1"/>
  <c r="T89" i="52"/>
  <c r="K89" i="52"/>
  <c r="U89" i="52"/>
  <c r="T90" i="52" l="1"/>
  <c r="R90" i="52"/>
  <c r="F90" i="52"/>
  <c r="AP90" i="52"/>
  <c r="G29" i="52"/>
  <c r="D105" i="52" s="1"/>
  <c r="G28" i="52"/>
  <c r="C105" i="52" s="1"/>
</calcChain>
</file>

<file path=xl/sharedStrings.xml><?xml version="1.0" encoding="utf-8"?>
<sst xmlns="http://schemas.openxmlformats.org/spreadsheetml/2006/main" count="1122" uniqueCount="623">
  <si>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</si>
  <si>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</si>
  <si>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</si>
  <si>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</si>
  <si>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</si>
  <si>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</si>
  <si>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</si>
  <si>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</si>
  <si>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</si>
  <si>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</si>
  <si>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</si>
  <si>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</si>
  <si>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</si>
  <si>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</si>
  <si>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</si>
  <si>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</si>
  <si>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</si>
  <si>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</si>
  <si>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</si>
  <si>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</si>
  <si>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</si>
  <si>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</si>
  <si>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</si>
  <si>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</si>
  <si>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</si>
  <si>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</si>
  <si>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</si>
  <si>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</si>
  <si>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</si>
  <si>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</si>
  <si>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</si>
  <si>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</si>
  <si>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</si>
  <si>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</si>
  <si>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</si>
  <si>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</si>
  <si>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</si>
  <si>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</si>
  <si>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</si>
  <si>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</si>
  <si>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</si>
  <si>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</si>
  <si>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</si>
  <si>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</si>
  <si>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</si>
  <si>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</si>
  <si>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</si>
  <si>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</si>
  <si>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</si>
  <si>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</si>
  <si>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</si>
  <si>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</si>
  <si>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</si>
  <si>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</si>
  <si>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</si>
  <si>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</si>
  <si>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</si>
  <si>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</si>
  <si>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</si>
  <si>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</si>
  <si>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</si>
  <si>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</si>
  <si>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</si>
  <si>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</si>
  <si>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</si>
  <si>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</si>
  <si>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</si>
  <si>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</si>
  <si>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</si>
  <si>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</si>
  <si>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</si>
  <si>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</si>
  <si>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</si>
  <si>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</si>
  <si>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</si>
  <si>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</si>
  <si>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</si>
  <si>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</si>
  <si>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</si>
  <si>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</si>
  <si>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</si>
  <si>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</si>
  <si>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</si>
  <si>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</si>
  <si>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</si>
  <si>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</si>
  <si>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</si>
  <si>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</si>
  <si>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</si>
  <si>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</si>
  <si>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</si>
  <si>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</si>
  <si>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</si>
  <si>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</si>
  <si>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</si>
  <si>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</si>
  <si>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</si>
  <si>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</si>
  <si>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</si>
  <si>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</si>
  <si>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</si>
  <si>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</si>
  <si>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</si>
  <si>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</si>
  <si>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</si>
  <si>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</si>
  <si>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</si>
  <si>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</si>
  <si>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</si>
  <si>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</si>
  <si>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</si>
  <si>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</si>
  <si>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</si>
  <si>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</si>
  <si>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</si>
  <si>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</si>
  <si>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</si>
  <si>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</si>
  <si>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</si>
  <si>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</si>
  <si>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</si>
  <si>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</si>
  <si>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</si>
  <si>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</si>
  <si>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</si>
  <si>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</si>
  <si>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</si>
  <si>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</si>
  <si>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</si>
  <si>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</si>
  <si>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</si>
  <si>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</si>
  <si>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</si>
  <si>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</si>
  <si>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</si>
  <si>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</si>
  <si>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</si>
  <si>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</si>
  <si>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</si>
  <si>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</si>
  <si>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</si>
  <si>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</si>
  <si>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</si>
  <si>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</si>
  <si>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</si>
  <si>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</si>
  <si>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</si>
  <si>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</si>
  <si>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</si>
  <si>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</si>
  <si>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</si>
  <si>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</si>
  <si>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</si>
  <si>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</si>
  <si>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</si>
  <si>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</si>
  <si>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</si>
  <si>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</si>
  <si>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</si>
  <si>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</si>
  <si>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</si>
  <si>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</si>
  <si>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</si>
  <si>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</si>
  <si>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</si>
  <si>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</si>
  <si>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</si>
  <si>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</si>
  <si>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</si>
  <si>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</si>
  <si>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</si>
  <si>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</si>
  <si>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</si>
  <si>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</si>
  <si>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</si>
  <si>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</si>
  <si>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</si>
  <si>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</si>
  <si>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</si>
  <si>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</si>
  <si>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</si>
  <si>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</si>
  <si>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</si>
  <si>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</si>
  <si>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</si>
  <si>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</si>
  <si>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</si>
  <si>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</si>
  <si>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</si>
  <si>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</si>
  <si>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</si>
  <si>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</si>
  <si>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</si>
  <si>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</si>
  <si>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</si>
  <si>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</si>
  <si>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</si>
  <si>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</si>
  <si>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</si>
  <si>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</si>
  <si>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</si>
  <si>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</si>
  <si>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</si>
  <si>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</si>
  <si>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</si>
  <si>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</si>
  <si>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</si>
  <si>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</si>
  <si>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</si>
  <si>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</si>
  <si>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</si>
  <si>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</si>
  <si>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</si>
  <si>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</si>
  <si>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</si>
  <si>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</si>
  <si>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</si>
  <si>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</si>
  <si>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</si>
  <si>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</si>
  <si>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</si>
  <si>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</si>
  <si>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</si>
  <si>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</si>
  <si>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</si>
  <si>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</si>
  <si>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</si>
  <si>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</si>
  <si>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</si>
  <si>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</si>
  <si>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</si>
  <si>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</si>
  <si>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</si>
  <si>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</si>
  <si>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</si>
  <si>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</si>
  <si>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</si>
  <si>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</si>
  <si>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</si>
  <si>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</si>
  <si>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</si>
  <si>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</si>
  <si>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</si>
  <si>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</si>
  <si>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</si>
  <si>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</si>
  <si>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</si>
  <si>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</si>
  <si>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</si>
  <si>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</si>
  <si>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</si>
  <si>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</si>
  <si>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</si>
  <si>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</si>
  <si>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</si>
  <si>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</si>
  <si>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</si>
  <si>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</si>
  <si>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</si>
  <si>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</si>
  <si>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</si>
  <si>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</si>
  <si>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</si>
  <si>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</si>
  <si>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</si>
  <si>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</si>
  <si>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</si>
  <si>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</si>
  <si>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</si>
  <si>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</si>
  <si>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</si>
  <si>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</si>
  <si>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</si>
  <si>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</si>
  <si>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</si>
  <si>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</si>
  <si>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</si>
  <si>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</si>
  <si>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</si>
  <si>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</si>
  <si>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</si>
  <si>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</si>
  <si>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</si>
  <si>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</si>
  <si>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</si>
  <si>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</si>
  <si>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</si>
  <si>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</si>
  <si>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</si>
  <si>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</si>
  <si>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</si>
  <si>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</si>
  <si>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</si>
  <si>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</si>
  <si>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</si>
  <si>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</si>
  <si>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</si>
  <si>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</si>
  <si>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</si>
  <si>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</si>
  <si>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</si>
  <si>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</si>
  <si>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</si>
  <si>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</si>
  <si>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</si>
  <si>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</si>
  <si>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</si>
  <si>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</si>
  <si>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</si>
  <si>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</si>
  <si>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</si>
  <si>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</si>
  <si>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</si>
  <si>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</si>
  <si>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</si>
  <si>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</si>
  <si>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</si>
  <si>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</si>
  <si>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</si>
  <si>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</si>
  <si>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</si>
  <si>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</si>
  <si>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</si>
  <si>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</si>
  <si>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</si>
  <si>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</si>
  <si>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</si>
  <si>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</si>
  <si>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</si>
  <si>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</si>
  <si>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</si>
  <si>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</si>
  <si>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</si>
  <si>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</si>
  <si>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</si>
  <si>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</si>
  <si>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</si>
  <si>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</si>
  <si>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</si>
  <si>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</si>
  <si>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</si>
  <si>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</si>
  <si>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</si>
  <si>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</si>
  <si>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</si>
  <si>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</si>
  <si>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</si>
  <si>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</si>
  <si>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</si>
  <si>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</si>
  <si>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</si>
  <si>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</si>
  <si>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</si>
  <si>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</si>
  <si>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</si>
  <si>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</si>
  <si>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</si>
  <si>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</si>
  <si>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</si>
  <si>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</si>
  <si>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</si>
  <si>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</si>
  <si>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</si>
  <si>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</si>
  <si>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</si>
  <si>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</si>
  <si>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</si>
  <si>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</si>
  <si>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</si>
  <si>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</si>
  <si>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</si>
  <si>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</si>
  <si>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</si>
  <si>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</si>
  <si>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</si>
  <si>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</si>
  <si>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</si>
  <si>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</si>
  <si>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</si>
  <si>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</si>
  <si>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</si>
  <si>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</si>
  <si>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</si>
  <si>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</si>
  <si>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</si>
  <si>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</si>
  <si>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</si>
  <si>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</si>
  <si>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</si>
  <si>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</si>
  <si>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</si>
  <si>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</si>
  <si>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</si>
  <si>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</si>
  <si>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</si>
  <si>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</si>
  <si>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</si>
  <si>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</si>
  <si>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</si>
  <si>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</si>
  <si>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</si>
  <si>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</si>
  <si>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</si>
  <si>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</si>
  <si>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</si>
  <si>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</si>
  <si>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</si>
  <si>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</si>
  <si>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</si>
  <si>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</si>
  <si>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</si>
  <si>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</si>
  <si>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</si>
  <si>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</si>
  <si>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</si>
  <si>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</si>
  <si>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</si>
  <si>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</si>
  <si>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</si>
  <si>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</si>
  <si>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</si>
  <si>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</si>
  <si>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</si>
  <si>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</si>
  <si>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</si>
  <si>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</si>
  <si>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</si>
  <si>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</si>
  <si>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</si>
  <si>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</si>
  <si>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</si>
  <si>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</si>
  <si>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</si>
  <si>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</si>
  <si>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</si>
  <si>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</si>
  <si>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</si>
  <si>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</si>
  <si>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</si>
  <si>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</si>
  <si>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</si>
  <si>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</si>
  <si>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</si>
  <si>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</si>
  <si>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</si>
  <si>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</si>
  <si>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</si>
  <si>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</si>
  <si>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</si>
  <si>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</si>
  <si>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</si>
  <si>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</si>
  <si>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</si>
  <si>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</si>
  <si>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</si>
  <si>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</si>
  <si>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</si>
  <si>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</si>
  <si>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</si>
  <si>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</si>
  <si>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</si>
  <si>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</si>
  <si>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</si>
  <si>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</si>
  <si>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</si>
  <si>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</si>
  <si>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</si>
  <si>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</si>
  <si>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</si>
  <si>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</si>
  <si>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</si>
  <si>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</si>
  <si>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</si>
  <si>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</si>
  <si>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</si>
  <si>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</si>
  <si>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</si>
  <si>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</si>
  <si>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</si>
  <si>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</si>
  <si>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</si>
  <si>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</si>
  <si>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</si>
  <si>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</si>
  <si>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</si>
  <si>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</si>
  <si>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</si>
  <si>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</si>
  <si>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</si>
  <si>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</si>
  <si>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</si>
  <si>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</si>
  <si>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</si>
  <si>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</si>
  <si>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</si>
  <si>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</si>
  <si>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</si>
  <si>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</si>
  <si>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</si>
  <si>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Мамоновский городской округ</t>
  </si>
  <si>
    <t xml:space="preserve">не требуется </t>
  </si>
  <si>
    <t>нет</t>
  </si>
  <si>
    <t>нд</t>
  </si>
  <si>
    <t>ВЛ</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</si>
  <si>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</si>
  <si>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</si>
  <si>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</si>
  <si>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</si>
  <si>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</si>
  <si>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Возможно реализовать в установленный срок</t>
  </si>
  <si>
    <t>от «__» _____ 20__ г. №___</t>
  </si>
  <si>
    <t>ВЛИ</t>
  </si>
  <si>
    <r>
      <t>После реализации инвестиционного проекта контрольные параметры будут приведены в надлежащее состояние.</t>
    </r>
    <r>
      <rPr>
        <sz val="12"/>
        <color theme="1"/>
        <rFont val="Times New Roman"/>
        <family val="1"/>
        <charset val="204"/>
      </rPr>
      <t xml:space="preserve"> Повышение индекса состояния до нормированного значения. 
Уровень напряжения соответсвует требованиям ГОСТ 32144-2013 (220 В).</t>
    </r>
  </si>
  <si>
    <t>трансформатор силовой масляный</t>
  </si>
  <si>
    <t>ТМГ</t>
  </si>
  <si>
    <t>Т-1</t>
  </si>
  <si>
    <t>2019</t>
  </si>
  <si>
    <t>дер.</t>
  </si>
  <si>
    <t>требуется проведение комплексной реконструкции с заменой провода и опор</t>
  </si>
  <si>
    <t>Акт обсл. ВЛ 0,4 кВ от ТП 181-10 от 19.04.2022</t>
  </si>
  <si>
    <t>требуется демонтаж участка</t>
  </si>
  <si>
    <t>ВЛ 15-181</t>
  </si>
  <si>
    <t>1955</t>
  </si>
  <si>
    <t>2017 г. ООО "ЭнЭкА"</t>
  </si>
  <si>
    <t>В целом исправно и соответствует требованиям НТД</t>
  </si>
  <si>
    <t>50+35, 35</t>
  </si>
  <si>
    <t>35</t>
  </si>
  <si>
    <t>СТП 15/0,4 кВ-новая</t>
  </si>
  <si>
    <t>ВЛИ 0,4 кВ от СТП-новой</t>
  </si>
  <si>
    <t>ВЛЗ</t>
  </si>
  <si>
    <t>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t>
  </si>
  <si>
    <t>N_22-1297</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</si>
  <si>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</si>
  <si>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2028</t>
  </si>
  <si>
    <t>ВЛ 15 кВ 15-071</t>
  </si>
  <si>
    <t xml:space="preserve">от СТП-новой до оп. 18 Л-1 от ТП 071-09 </t>
  </si>
  <si>
    <t>от оп.95 до СТП-новой</t>
  </si>
  <si>
    <t xml:space="preserve">ВЛ 0,4 кВ Л-1 от ТП 071-09 </t>
  </si>
  <si>
    <t>ВЛ 0,4 кВ Л-2 от ТП 071-09</t>
  </si>
  <si>
    <t>оп.18-37</t>
  </si>
  <si>
    <t>оп.18- - 18-6</t>
  </si>
  <si>
    <t>оп.23 - 23-3, 26 - 26-1</t>
  </si>
  <si>
    <t>от ТП до оп.18</t>
  </si>
  <si>
    <t>от ТП до оп.7</t>
  </si>
  <si>
    <t>оп.7 - 7-1</t>
  </si>
  <si>
    <t>Приведение эксплуатуционного состояния  ВЛ 0,4 кВ к действующим НТД, ПТЭ,ПУЭ, отраслевым регламентам, ГОСТ 32144-13</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</si>
  <si>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</si>
  <si>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</si>
  <si>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</si>
  <si>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</si>
  <si>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</si>
  <si>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</si>
  <si>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</si>
  <si>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</si>
  <si>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</si>
  <si>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</si>
  <si>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</si>
  <si>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</si>
  <si>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</si>
  <si>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</si>
  <si>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</si>
  <si>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</si>
  <si>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</si>
  <si>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</si>
  <si>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</si>
  <si>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</si>
  <si>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</si>
  <si>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</si>
  <si>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</si>
  <si>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</si>
  <si>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</si>
  <si>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</si>
  <si>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</si>
  <si>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</si>
  <si>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</si>
  <si>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</si>
  <si>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</si>
  <si>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</si>
  <si>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</si>
  <si>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</si>
  <si>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</si>
  <si>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предварительный расчет стоимости по объекту-аналогу</t>
  </si>
  <si>
    <t>СТП 15/0,4 кВ 63 кВА</t>
  </si>
  <si>
    <t>строительство</t>
  </si>
  <si>
    <r>
      <t>∆P</t>
    </r>
    <r>
      <rPr>
        <vertAlign val="superscript"/>
        <sz val="11"/>
        <color theme="1"/>
        <rFont val="Calibri"/>
        <family val="2"/>
        <charset val="204"/>
        <scheme val="minor"/>
      </rPr>
      <t>15</t>
    </r>
    <r>
      <rPr>
        <sz val="11"/>
        <color theme="1"/>
        <rFont val="Calibri"/>
        <family val="2"/>
        <scheme val="minor"/>
      </rPr>
      <t>тр=0,063 МВА, ∆L</t>
    </r>
    <r>
      <rPr>
        <vertAlign val="superscript"/>
        <sz val="11"/>
        <color theme="1"/>
        <rFont val="Calibri"/>
        <family val="2"/>
        <charset val="204"/>
        <scheme val="minor"/>
      </rPr>
      <t>15</t>
    </r>
    <r>
      <rPr>
        <sz val="11"/>
        <color theme="1"/>
        <rFont val="Calibri"/>
        <family val="2"/>
        <scheme val="minor"/>
      </rPr>
      <t>лэп=0,76 км, ∆L</t>
    </r>
    <r>
      <rPr>
        <vertAlign val="superscript"/>
        <sz val="11"/>
        <color theme="1"/>
        <rFont val="Calibri"/>
        <family val="2"/>
        <charset val="204"/>
        <scheme val="minor"/>
      </rPr>
      <t>0,4</t>
    </r>
    <r>
      <rPr>
        <sz val="11"/>
        <color theme="1"/>
        <rFont val="Calibri"/>
        <family val="2"/>
        <scheme val="minor"/>
      </rPr>
      <t>лэп=-0,449 км,  
L</t>
    </r>
    <r>
      <rPr>
        <vertAlign val="superscript"/>
        <sz val="11"/>
        <color theme="1"/>
        <rFont val="Calibri"/>
        <family val="2"/>
        <charset val="204"/>
        <scheme val="minor"/>
      </rPr>
      <t>0,4</t>
    </r>
    <r>
      <rPr>
        <sz val="11"/>
        <color theme="1"/>
        <rFont val="Calibri"/>
        <family val="2"/>
        <scheme val="minor"/>
      </rPr>
      <t>з_лэп=1,136 км</t>
    </r>
  </si>
  <si>
    <t>ВЛ 15 кВ - 2,35 млн.руб./км; 
ВЛ 0,4 кВ - 2,49 млн.руб./км; 
СТП 15/0,4 кВ - 8,36 млн.руб./МВА</t>
  </si>
  <si>
    <t>Сметная стоимость проекта в ценах 2025 года с НДС, млн. руб.</t>
  </si>
  <si>
    <t>Акт обсл. ВЛ 0,4 кВ от ТП 071-09 от 20.06.2022 г.</t>
  </si>
  <si>
    <t>Акционерное общество "Россети Янтарь" ДЗО  ПАО "Россети"</t>
  </si>
  <si>
    <t>Жалобы жителей г. Мамоново на низкое качество электроэнергии.
Акт технического обследования ВЛ 0,4 кВ от ТП 071-09 от 20.06.2022 г. - Превышен нормативный срок эксплуатации (год ввода 1955). Высокий износ участка цепей. Нарушение принципа построения сети, путем увеличения протяженности ВЛ 0,4 кВ при подключении новых потребителей. Недостаточная пропускная способность ВЛ 0,4 кВ в период зимнего максимума. Требуется разукрупнение сетей путем строительства МТП 15/0,4 кВ, ВЛИ 0,4 кВ от ТП 071-20 до оп. № 37 Л-1 от ТП 071-09, реконструкции В Л 0,4 кВ Л-1 от ТП 071-09 от ТП до оп. № 24, от оп. № 25 до оп. № 37, от опоры № 18 до опоры №18/6, от опоры № 23 до опоры № 23-3, от опоры № 26 до опоры № 26/1 с заменой опор с № 1 - по № 37, оп. с № 18/1 - по №18/6, оп. с № 23/1 - по №23/3, оп. № 26-1 и провода, ВЛ 0,4 кВ Л-2 от ТП 071-09 от ТП до опоры № 7, от оп. № 7 до оп. №7/1 с заменой опор с № 1 - по № 7 и провода. Участок ВЛ 0,4 от опоры № 24 до опоры № 25 Л-1 от ТП 071-09 демонтировать. 
Индекс технического состояния ВЛ 0,4 кВ от ТП 071-09 - 76,3.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</si>
  <si>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</si>
  <si>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</si>
  <si>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</si>
  <si>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</si>
  <si>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</si>
  <si>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ээот снижения потерь ээ, руб. в ценах текущего года</t>
  </si>
  <si>
    <t>среднеотпускной тариф на услуги по передаче, руб/тыс.кВтч</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</si>
  <si>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</si>
  <si>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</si>
  <si>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</si>
  <si>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</si>
  <si>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</si>
  <si>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</si>
  <si>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</si>
  <si>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</si>
  <si>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</si>
  <si>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</si>
  <si>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</si>
  <si>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</si>
  <si>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да</t>
  </si>
  <si>
    <t>С</t>
  </si>
  <si>
    <t>C</t>
  </si>
  <si>
    <t xml:space="preserve"> по состоянию на 01.01.2025</t>
  </si>
  <si>
    <t>СМР</t>
  </si>
  <si>
    <t>Выполнение строительно-монтажных работ с поставкой оборудования подрядчика по объекту нельготной категории «Разукрупнение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 (техническое задание № 4.УЭРС.2022-ЗРЭС-25, № ИПР 22-1297)</t>
  </si>
  <si>
    <t>ООО "Энергопроект"</t>
  </si>
  <si>
    <t>http://roseltorg.ru</t>
  </si>
  <si>
    <t>п.7.5.3</t>
  </si>
  <si>
    <t>ЦКК</t>
  </si>
  <si>
    <t>СМР ООО "Энергопроект"договор № 32514698036/СМР/25 от 11.07.2025</t>
  </si>
  <si>
    <t>СМР ООО "Энергопроект" договор № 32514698036/СМР/25 от 11.07.2025 в ценах 2025 года с НДС, млн. руб.</t>
  </si>
  <si>
    <t>АО "АЛЬФА-БАНК" договор № 0HET7L от 04.12.2024 в ценах 2024 года с НДС, млн. руб.</t>
  </si>
  <si>
    <t>ПАО "СОВКОМБАНК" соглашение № 2349/КИБ-РКЛ/25 от 11.06.2025 в ценах 2025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</si>
</sst>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1"/>
      <color theme="1"/>
      <name val="Times New Roman"/>
      <family val="1"/>
      <charset val="204"/>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8" tint="0.79998168889431442"/>
      </patternFill>
    </fill>
    <fill>
      <patternFill patternType="solid">
        <fgColor theme="8" tint="0.79998168889431442"/>
        <bgColor theme="0" tint="-4.9989318521683403E-2"/>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11" fillId="0" borderId="0" xfId="62" applyFont="1" applyAlignment="1">
      <alignment horizontal="center" vertical="center" wrapText="1"/>
    </xf>
    <xf numFmtId="0" fontId="41" fillId="0" borderId="30" xfId="2" applyFont="1" applyFill="1" applyBorder="1" applyAlignment="1">
      <alignment horizontal="justify" vertical="top"/>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168" fontId="11" fillId="0" borderId="0" xfId="62" applyNumberFormat="1" applyFont="1" applyAlignment="1">
      <alignment horizontal="left"/>
    </xf>
    <xf numFmtId="0" fontId="11" fillId="0" borderId="0" xfId="62" applyFont="1" applyAlignment="1">
      <alignment horizontal="left" wrapText="1"/>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vertical="center" wrapText="1"/>
    </xf>
    <xf numFmtId="0" fontId="66" fillId="0" borderId="0" xfId="62" applyFont="1" applyFill="1" applyBorder="1" applyAlignment="1">
      <alignment horizontal="center" vertical="center" wrapText="1"/>
    </xf>
    <xf numFmtId="0" fontId="11" fillId="0" borderId="0" xfId="62" applyFont="1" applyFill="1" applyBorder="1" applyAlignment="1">
      <alignment vertical="center"/>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55" xfId="62" applyFont="1" applyFill="1" applyBorder="1" applyAlignment="1">
      <alignment horizontal="center" vertical="center" wrapText="1"/>
    </xf>
    <xf numFmtId="0" fontId="5" fillId="0" borderId="0" xfId="1" applyFont="1" applyFill="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8" xfId="1" applyFont="1" applyFill="1" applyBorder="1" applyAlignment="1">
      <alignment horizontal="left" vertical="center" wrapText="1"/>
    </xf>
    <xf numFmtId="0" fontId="3" fillId="0" borderId="58" xfId="1" applyFont="1" applyFill="1" applyBorder="1" applyAlignment="1">
      <alignment vertical="center" wrapText="1"/>
    </xf>
    <xf numFmtId="0" fontId="7" fillId="0" borderId="58" xfId="1" applyFont="1" applyBorder="1" applyAlignment="1">
      <alignment vertic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60" xfId="1" applyFont="1" applyBorder="1" applyAlignment="1">
      <alignment horizontal="center" vertical="center" wrapText="1"/>
    </xf>
    <xf numFmtId="49" fontId="7" fillId="0" borderId="58" xfId="1" applyNumberFormat="1" applyFont="1" applyBorder="1" applyAlignment="1">
      <alignment vertical="center"/>
    </xf>
    <xf numFmtId="0" fontId="11" fillId="0" borderId="60" xfId="2" applyFont="1" applyFill="1" applyBorder="1" applyAlignment="1">
      <alignment vertical="center" wrapText="1"/>
    </xf>
    <xf numFmtId="0" fontId="4" fillId="0" borderId="58" xfId="1" applyFont="1" applyBorder="1" applyAlignment="1">
      <alignment horizontal="center" vertical="center"/>
    </xf>
    <xf numFmtId="0" fontId="42" fillId="0" borderId="58" xfId="2" applyNumberFormat="1" applyFont="1" applyFill="1" applyBorder="1" applyAlignment="1">
      <alignment horizontal="center" vertical="top" wrapText="1"/>
    </xf>
    <xf numFmtId="0" fontId="42" fillId="0" borderId="58" xfId="2" applyFont="1" applyFill="1" applyBorder="1" applyAlignment="1">
      <alignment horizontal="center" vertical="center" wrapText="1"/>
    </xf>
    <xf numFmtId="0" fontId="42" fillId="0" borderId="58" xfId="2" applyFont="1" applyFill="1" applyBorder="1" applyAlignment="1">
      <alignment vertical="top" wrapText="1"/>
    </xf>
    <xf numFmtId="0" fontId="11" fillId="0" borderId="58" xfId="2" applyFont="1" applyFill="1" applyBorder="1" applyAlignment="1">
      <alignment horizontal="center" vertical="center" wrapText="1"/>
    </xf>
    <xf numFmtId="0" fontId="11" fillId="0" borderId="58" xfId="2" applyNumberFormat="1" applyFont="1" applyFill="1" applyBorder="1" applyAlignment="1">
      <alignment horizontal="center" vertical="top" wrapText="1"/>
    </xf>
    <xf numFmtId="0" fontId="11" fillId="0" borderId="58" xfId="2" applyFont="1" applyFill="1" applyBorder="1"/>
    <xf numFmtId="0" fontId="0" fillId="0" borderId="58" xfId="0" applyFill="1" applyBorder="1" applyAlignment="1">
      <alignment wrapText="1"/>
    </xf>
    <xf numFmtId="0" fontId="11" fillId="0" borderId="58" xfId="2" applyFont="1" applyFill="1" applyBorder="1" applyAlignment="1">
      <alignment vertical="top" wrapText="1"/>
    </xf>
    <xf numFmtId="14" fontId="11" fillId="0" borderId="58" xfId="2" applyNumberFormat="1" applyFont="1" applyFill="1" applyBorder="1" applyAlignment="1">
      <alignment horizontal="center" vertical="center" wrapText="1" shrinkToFit="1"/>
    </xf>
    <xf numFmtId="0" fontId="11" fillId="0" borderId="58" xfId="2" applyFont="1" applyFill="1" applyBorder="1" applyAlignment="1">
      <alignment horizontal="justify" vertical="top" wrapText="1"/>
    </xf>
    <xf numFmtId="0" fontId="11" fillId="0" borderId="58" xfId="2" applyNumberFormat="1" applyFont="1" applyFill="1" applyBorder="1" applyAlignment="1">
      <alignment horizontal="left" vertical="top" wrapText="1"/>
    </xf>
    <xf numFmtId="169" fontId="42" fillId="0" borderId="58" xfId="2" applyNumberFormat="1" applyFont="1" applyFill="1" applyBorder="1" applyAlignment="1">
      <alignment horizontal="right" vertical="top" wrapText="1"/>
    </xf>
    <xf numFmtId="0" fontId="11" fillId="0" borderId="58" xfId="2" applyFont="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6" fontId="42" fillId="0" borderId="58" xfId="2" applyNumberFormat="1" applyFont="1" applyFill="1" applyBorder="1" applyAlignment="1">
      <alignment horizontal="center" vertical="center" wrapText="1"/>
    </xf>
    <xf numFmtId="176" fontId="39"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76" fontId="11" fillId="0" borderId="58" xfId="2" applyNumberFormat="1" applyFont="1" applyFill="1" applyBorder="1" applyAlignment="1">
      <alignment horizontal="center" vertical="center" wrapText="1"/>
    </xf>
    <xf numFmtId="176" fontId="11" fillId="0" borderId="58" xfId="0" applyNumberFormat="1" applyFont="1" applyFill="1" applyBorder="1" applyAlignment="1">
      <alignment horizontal="center" vertical="center"/>
    </xf>
    <xf numFmtId="176" fontId="42" fillId="0" borderId="58" xfId="0" applyNumberFormat="1" applyFont="1" applyFill="1" applyBorder="1" applyAlignment="1">
      <alignment horizontal="center" vertical="center"/>
    </xf>
    <xf numFmtId="0" fontId="47" fillId="0" borderId="58" xfId="45" applyFont="1" applyFill="1" applyBorder="1" applyAlignment="1">
      <alignment horizontal="left" vertical="center" wrapText="1"/>
    </xf>
    <xf numFmtId="176" fontId="43" fillId="0" borderId="58" xfId="45" applyNumberFormat="1" applyFont="1" applyFill="1" applyBorder="1" applyAlignment="1">
      <alignment horizontal="center" vertical="center" wrapText="1"/>
    </xf>
    <xf numFmtId="0" fontId="43" fillId="0" borderId="58" xfId="45" applyFont="1" applyFill="1" applyBorder="1" applyAlignment="1">
      <alignment horizontal="left" vertical="center" wrapText="1"/>
    </xf>
    <xf numFmtId="1"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xf>
    <xf numFmtId="14"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2" fontId="7" fillId="0" borderId="58" xfId="1" applyNumberFormat="1" applyFont="1" applyFill="1" applyBorder="1" applyAlignment="1">
      <alignment horizontal="left" vertical="center" wrapText="1"/>
    </xf>
    <xf numFmtId="0" fontId="11" fillId="0" borderId="58" xfId="62" applyFont="1" applyBorder="1" applyAlignment="1">
      <alignment horizontal="center" vertical="center"/>
    </xf>
    <xf numFmtId="0" fontId="11" fillId="0" borderId="58" xfId="62" applyFont="1" applyBorder="1" applyAlignment="1">
      <alignment horizontal="center" vertical="center" wrapText="1"/>
    </xf>
    <xf numFmtId="0" fontId="7" fillId="0" borderId="58" xfId="0" applyFont="1" applyBorder="1" applyAlignment="1">
      <alignment horizontal="center" vertical="center" wrapText="1"/>
    </xf>
    <xf numFmtId="49" fontId="11" fillId="0" borderId="58" xfId="62" applyNumberFormat="1" applyFont="1" applyFill="1" applyBorder="1" applyAlignment="1">
      <alignment horizontal="center" vertical="center" wrapText="1"/>
    </xf>
    <xf numFmtId="0" fontId="11" fillId="0" borderId="58" xfId="62" applyNumberFormat="1" applyFont="1" applyFill="1" applyBorder="1" applyAlignment="1">
      <alignment horizontal="center" vertical="center" wrapText="1"/>
    </xf>
    <xf numFmtId="168" fontId="11" fillId="0" borderId="58" xfId="62" applyNumberFormat="1"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4" fillId="0" borderId="65" xfId="62" applyBorder="1" applyAlignment="1">
      <alignment horizontal="left" vertical="center" wrapText="1"/>
    </xf>
    <xf numFmtId="0" fontId="44" fillId="26" borderId="65" xfId="62" applyFill="1" applyBorder="1" applyAlignment="1">
      <alignment horizontal="center" vertical="center" wrapText="1"/>
    </xf>
    <xf numFmtId="0" fontId="44" fillId="0" borderId="65" xfId="62" applyBorder="1" applyAlignment="1">
      <alignment horizontal="center" vertical="center" wrapText="1"/>
    </xf>
    <xf numFmtId="0" fontId="76" fillId="26" borderId="65" xfId="62" applyFont="1" applyFill="1" applyBorder="1" applyAlignment="1">
      <alignment horizontal="center" vertical="center" wrapText="1"/>
    </xf>
    <xf numFmtId="4" fontId="44" fillId="0" borderId="65" xfId="62" applyNumberFormat="1" applyBorder="1" applyAlignment="1">
      <alignment horizontal="center" vertical="center"/>
    </xf>
    <xf numFmtId="0" fontId="44" fillId="30" borderId="65" xfId="62" applyFont="1" applyFill="1" applyBorder="1" applyAlignment="1">
      <alignment horizontal="center" vertical="center"/>
    </xf>
    <xf numFmtId="3" fontId="90" fillId="0" borderId="66" xfId="67" applyNumberFormat="1" applyFont="1" applyFill="1" applyBorder="1" applyAlignment="1">
      <alignment horizontal="center" vertical="center"/>
    </xf>
    <xf numFmtId="0" fontId="90" fillId="0" borderId="65" xfId="67" applyFont="1" applyFill="1" applyBorder="1" applyAlignment="1">
      <alignment horizontal="center" vertical="center"/>
    </xf>
    <xf numFmtId="0" fontId="91" fillId="0" borderId="65" xfId="62" applyFont="1" applyFill="1" applyBorder="1" applyAlignment="1">
      <alignment horizontal="center"/>
    </xf>
    <xf numFmtId="0" fontId="92" fillId="30" borderId="65" xfId="62" applyFont="1" applyFill="1" applyBorder="1" applyAlignment="1">
      <alignment horizontal="left" vertical="center" wrapText="1"/>
    </xf>
    <xf numFmtId="10" fontId="92" fillId="30" borderId="65" xfId="62" applyNumberFormat="1" applyFont="1" applyFill="1" applyBorder="1"/>
    <xf numFmtId="0" fontId="93" fillId="0" borderId="0" xfId="67" applyFont="1" applyFill="1" applyBorder="1" applyAlignment="1">
      <alignment vertical="center" wrapText="1"/>
    </xf>
    <xf numFmtId="167" fontId="94" fillId="0" borderId="0" xfId="67" applyNumberFormat="1" applyFont="1" applyFill="1" applyBorder="1" applyAlignment="1">
      <alignment horizontal="center" vertical="center"/>
    </xf>
    <xf numFmtId="0" fontId="95" fillId="0" borderId="0" xfId="62" applyFont="1" applyFill="1" applyBorder="1"/>
    <xf numFmtId="0" fontId="95" fillId="0" borderId="0" xfId="62" applyFont="1" applyFill="1"/>
    <xf numFmtId="14" fontId="11" fillId="0" borderId="67" xfId="2" applyNumberFormat="1" applyFont="1" applyFill="1" applyBorder="1" applyAlignment="1">
      <alignment horizontal="center" vertical="center" wrapText="1" shrinkToFit="1"/>
    </xf>
    <xf numFmtId="0" fontId="11" fillId="0" borderId="67" xfId="2" applyFont="1" applyFill="1" applyBorder="1" applyAlignment="1">
      <alignment horizontal="center" vertical="center" wrapText="1"/>
    </xf>
    <xf numFmtId="14" fontId="11" fillId="0" borderId="67" xfId="2" applyNumberFormat="1" applyFont="1" applyFill="1" applyBorder="1" applyAlignment="1">
      <alignment horizontal="center" vertical="center" wrapText="1"/>
    </xf>
    <xf numFmtId="0" fontId="11" fillId="0" borderId="67" xfId="2" applyNumberFormat="1" applyFont="1" applyFill="1" applyBorder="1" applyAlignment="1">
      <alignment horizontal="center" vertical="center" wrapText="1"/>
    </xf>
    <xf numFmtId="49" fontId="37" fillId="0" borderId="67" xfId="49" applyNumberFormat="1" applyFont="1" applyBorder="1" applyAlignment="1">
      <alignment horizontal="center" vertical="center" wrapText="1"/>
    </xf>
    <xf numFmtId="167" fontId="37" fillId="0" borderId="67" xfId="49" applyNumberFormat="1" applyFont="1" applyBorder="1" applyAlignment="1">
      <alignment horizontal="center" vertical="center" wrapText="1"/>
    </xf>
    <xf numFmtId="1" fontId="37" fillId="0" borderId="67" xfId="49" applyNumberFormat="1" applyFont="1" applyBorder="1" applyAlignment="1">
      <alignment horizontal="center" vertical="center" wrapText="1"/>
    </xf>
    <xf numFmtId="14" fontId="37" fillId="0" borderId="67" xfId="49" applyNumberFormat="1" applyFont="1" applyBorder="1" applyAlignment="1">
      <alignment horizontal="center" vertical="center" wrapText="1"/>
    </xf>
    <xf numFmtId="49" fontId="37" fillId="0" borderId="67" xfId="49" applyNumberFormat="1" applyFont="1" applyBorder="1" applyAlignment="1">
      <alignment horizontal="center" vertical="center"/>
    </xf>
    <xf numFmtId="167" fontId="37" fillId="0" borderId="67" xfId="49" applyNumberFormat="1" applyFont="1" applyBorder="1" applyAlignment="1">
      <alignment horizontal="center" vertical="center"/>
    </xf>
    <xf numFmtId="1" fontId="37" fillId="0" borderId="67" xfId="49" applyNumberFormat="1" applyFont="1" applyBorder="1" applyAlignment="1">
      <alignment horizontal="center" vertical="center"/>
    </xf>
    <xf numFmtId="14" fontId="37" fillId="0" borderId="67"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2" fontId="11" fillId="0" borderId="0" xfId="2" applyNumberFormat="1" applyFont="1" applyFill="1"/>
    <xf numFmtId="176" fontId="42" fillId="0" borderId="68" xfId="2" applyNumberFormat="1" applyFont="1" applyFill="1" applyBorder="1" applyAlignment="1">
      <alignment horizontal="center" vertical="center" wrapText="1"/>
    </xf>
    <xf numFmtId="176" fontId="42" fillId="0" borderId="68" xfId="2" applyNumberFormat="1" applyFont="1" applyBorder="1" applyAlignment="1">
      <alignment horizontal="center" vertical="center"/>
    </xf>
    <xf numFmtId="0" fontId="11" fillId="0" borderId="69" xfId="2" applyFont="1" applyFill="1" applyBorder="1" applyAlignment="1">
      <alignment horizontal="center" vertical="center" wrapText="1"/>
    </xf>
    <xf numFmtId="0" fontId="42" fillId="0" borderId="68"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0" fontId="39" fillId="0" borderId="58" xfId="1" applyFont="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wrapText="1"/>
    </xf>
    <xf numFmtId="176" fontId="42" fillId="0" borderId="72" xfId="2" applyNumberFormat="1" applyFont="1" applyFill="1" applyBorder="1" applyAlignment="1">
      <alignment horizontal="center" vertical="center" wrapText="1"/>
    </xf>
    <xf numFmtId="1" fontId="37" fillId="0" borderId="74" xfId="49" applyNumberFormat="1" applyFont="1" applyBorder="1" applyAlignment="1">
      <alignment horizontal="center" vertical="center"/>
    </xf>
    <xf numFmtId="49"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2" fontId="37" fillId="0" borderId="74" xfId="49" applyNumberFormat="1" applyFont="1" applyBorder="1" applyAlignment="1">
      <alignment horizontal="center" vertical="center"/>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xf>
    <xf numFmtId="14" fontId="11" fillId="0" borderId="75" xfId="2" applyNumberFormat="1" applyFont="1" applyBorder="1" applyAlignment="1">
      <alignment horizontal="center" vertical="center" wrapText="1" shrinkToFit="1"/>
    </xf>
    <xf numFmtId="14" fontId="11" fillId="0" borderId="75" xfId="2" applyNumberFormat="1" applyFont="1" applyBorder="1" applyAlignment="1">
      <alignment horizontal="center" vertical="center" wrapText="1"/>
    </xf>
    <xf numFmtId="0" fontId="11" fillId="0" borderId="75" xfId="2" applyFont="1" applyBorder="1" applyAlignment="1">
      <alignment horizontal="center" vertical="center" wrapText="1"/>
    </xf>
    <xf numFmtId="0" fontId="11" fillId="0" borderId="75" xfId="2" applyFont="1" applyBorder="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0" fontId="40" fillId="33" borderId="30" xfId="2" applyFont="1" applyFill="1" applyBorder="1" applyAlignment="1">
      <alignment horizontal="justify" vertical="top" wrapText="1"/>
    </xf>
    <xf numFmtId="2" fontId="40" fillId="33" borderId="33" xfId="2" applyNumberFormat="1" applyFont="1" applyFill="1" applyBorder="1" applyAlignment="1">
      <alignment horizontal="left" vertical="center" wrapText="1"/>
    </xf>
    <xf numFmtId="2" fontId="40" fillId="31" borderId="30"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8"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8" fillId="0" borderId="0" xfId="1" applyFont="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39" fillId="0" borderId="58"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59"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8" xfId="2" applyFont="1" applyFill="1" applyBorder="1" applyAlignment="1">
      <alignment horizontal="center" vertical="center" wrapText="1"/>
    </xf>
    <xf numFmtId="0" fontId="42" fillId="0" borderId="58"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8"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5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8" xfId="2" applyFont="1" applyBorder="1" applyAlignment="1">
      <alignment horizontal="center" vertical="center"/>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8" xfId="2" applyFont="1" applyFill="1" applyBorder="1" applyAlignment="1">
      <alignment horizontal="center" vertical="center" wrapText="1"/>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8" xfId="5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96" fillId="30" borderId="76"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-218458.75922600951</c:v>
                </c:pt>
                <c:pt idx="1">
                  <c:v>-7045281.6245005438</c:v>
                </c:pt>
                <c:pt idx="2">
                  <c:v>305748.35394882387</c:v>
                </c:pt>
                <c:pt idx="3">
                  <c:v>426677.93357195653</c:v>
                </c:pt>
                <c:pt idx="4">
                  <c:v>716132.9593881832</c:v>
                </c:pt>
                <c:pt idx="5">
                  <c:v>545843.92444340349</c:v>
                </c:pt>
                <c:pt idx="6">
                  <c:v>452414.56907513976</c:v>
                </c:pt>
                <c:pt idx="7">
                  <c:v>458126.53160435212</c:v>
                </c:pt>
                <c:pt idx="8">
                  <c:v>419764.30930528935</c:v>
                </c:pt>
                <c:pt idx="9">
                  <c:v>384648.95571544464</c:v>
                </c:pt>
                <c:pt idx="10">
                  <c:v>352501.60425024881</c:v>
                </c:pt>
                <c:pt idx="11">
                  <c:v>323067.81215843151</c:v>
                </c:pt>
              </c:numCache>
            </c:numRef>
          </c:val>
          <c:smooth val="0"/>
          <c:extLst>
            <c:ext xmlns:c16="http://schemas.microsoft.com/office/drawing/2014/chart" uri="{C3380CC4-5D6E-409C-BE32-E72D297353CC}">
              <c16:uniqueId val="{00000000-757E-44BD-BBDF-C491E6A2738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-218458.75922600951</c:v>
                </c:pt>
                <c:pt idx="1">
                  <c:v>-7263740.3837265531</c:v>
                </c:pt>
                <c:pt idx="2">
                  <c:v>-6957992.029777729</c:v>
                </c:pt>
                <c:pt idx="3">
                  <c:v>-6531314.0962057728</c:v>
                </c:pt>
                <c:pt idx="4">
                  <c:v>-5815181.1368175894</c:v>
                </c:pt>
                <c:pt idx="5">
                  <c:v>-5269337.2123741861</c:v>
                </c:pt>
                <c:pt idx="6">
                  <c:v>-4816922.643299046</c:v>
                </c:pt>
                <c:pt idx="7">
                  <c:v>-4358796.1116946936</c:v>
                </c:pt>
                <c:pt idx="8">
                  <c:v>-3939031.8023894043</c:v>
                </c:pt>
                <c:pt idx="9">
                  <c:v>-3554382.8466739599</c:v>
                </c:pt>
                <c:pt idx="10">
                  <c:v>-3201881.2424237109</c:v>
                </c:pt>
                <c:pt idx="11">
                  <c:v>-2878813.4302652795</c:v>
                </c:pt>
              </c:numCache>
            </c:numRef>
          </c:val>
          <c:smooth val="0"/>
          <c:extLst>
            <c:ext xmlns:c16="http://schemas.microsoft.com/office/drawing/2014/chart" uri="{C3380CC4-5D6E-409C-BE32-E72D297353CC}">
              <c16:uniqueId val="{00000000-1B54-449E-AC76-C1B18659E461}"/>
            </c:ext>
          </c:extLst>
        </c:ser>
        <c:dLbls>
          <c:showLegendKey val="0"/>
          <c:showVal val="0"/>
          <c:showCatName val="0"/>
          <c:showSerName val="0"/>
          <c:showPercent val="0"/>
          <c:showBubbleSize val="0"/>
        </c:dLbls>
        <c:smooth val="0"/>
        <c:axId val="424907488"/>
        <c:axId val="424908576"/>
      </c:lineChart>
      <c:catAx>
        <c:axId val="424907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24908576"/>
        <c:crosses val="autoZero"/>
        <c:auto val="1"/>
        <c:lblAlgn val="ctr"/>
        <c:lblOffset val="100"/>
        <c:noMultiLvlLbl val="0"/>
      </c:catAx>
      <c:valAx>
        <c:axId val="4249085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24907488"/>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510</v>
      </c>
    </row>
    <row r="4" spans="1:22" s="15" customFormat="1" ht="18.75" x14ac:dyDescent="0.3">
      <c r="A4" s="254"/>
      <c r="H4" s="253"/>
    </row>
    <row r="5" spans="1:22" s="15" customFormat="1" ht="15.75" x14ac:dyDescent="0.25">
      <c r="A5" s="451" t="s">
        <v>608</v>
      </c>
      <c r="B5" s="451"/>
      <c r="C5" s="451"/>
      <c r="D5" s="103"/>
      <c r="E5" s="103"/>
      <c r="F5" s="103"/>
      <c r="G5" s="103"/>
      <c r="H5" s="103"/>
      <c r="I5" s="103"/>
      <c r="J5" s="103"/>
    </row>
    <row r="6" spans="1:22" s="15" customFormat="1" ht="18.75" x14ac:dyDescent="0.3">
      <c r="A6" s="254"/>
      <c r="H6" s="253"/>
    </row>
    <row r="7" spans="1:22" s="15" customFormat="1" ht="18.75" x14ac:dyDescent="0.2">
      <c r="A7" s="455" t="s">
        <v>6</v>
      </c>
      <c r="B7" s="455"/>
      <c r="C7" s="45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301"/>
      <c r="B8" s="301"/>
      <c r="C8" s="301"/>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56" t="s">
        <v>588</v>
      </c>
      <c r="B9" s="456"/>
      <c r="C9" s="45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52" t="s">
        <v>5</v>
      </c>
      <c r="B10" s="452"/>
      <c r="C10" s="45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82"/>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57" t="s">
        <v>531</v>
      </c>
      <c r="B12" s="457"/>
      <c r="C12" s="45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52" t="s">
        <v>4</v>
      </c>
      <c r="B13" s="452"/>
      <c r="C13" s="452"/>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83"/>
      <c r="D14" s="247"/>
      <c r="E14" s="247"/>
      <c r="F14" s="247"/>
      <c r="G14" s="247"/>
      <c r="H14" s="247"/>
      <c r="I14" s="247"/>
      <c r="J14" s="247"/>
      <c r="K14" s="247"/>
      <c r="L14" s="247"/>
      <c r="M14" s="247"/>
      <c r="N14" s="247"/>
      <c r="O14" s="247"/>
      <c r="P14" s="247"/>
      <c r="Q14" s="247"/>
      <c r="R14" s="247"/>
      <c r="S14" s="247"/>
      <c r="T14" s="247"/>
      <c r="U14" s="247"/>
      <c r="V14" s="247"/>
    </row>
    <row r="15" spans="1:22" s="260" customFormat="1" ht="57" customHeight="1" x14ac:dyDescent="0.2">
      <c r="A15" s="458" t="s">
        <v>530</v>
      </c>
      <c r="B15" s="458"/>
      <c r="C15" s="458"/>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52" t="s">
        <v>3</v>
      </c>
      <c r="B16" s="452"/>
      <c r="C16" s="45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53" t="s">
        <v>442</v>
      </c>
      <c r="B18" s="454"/>
      <c r="C18" s="45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303" t="s">
        <v>61</v>
      </c>
      <c r="B22" s="302" t="s">
        <v>295</v>
      </c>
      <c r="C22" s="285" t="s">
        <v>497</v>
      </c>
      <c r="D22" s="265"/>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305" t="s">
        <v>60</v>
      </c>
      <c r="B23" s="304" t="s">
        <v>498</v>
      </c>
      <c r="C23" s="312" t="s">
        <v>532</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48"/>
      <c r="B24" s="449"/>
      <c r="C24" s="450"/>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00" t="s">
        <v>391</v>
      </c>
      <c r="C25" s="284" t="s">
        <v>502</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00" t="s">
        <v>71</v>
      </c>
      <c r="C26" s="30" t="s">
        <v>458</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00" t="s">
        <v>70</v>
      </c>
      <c r="C27" s="292" t="s">
        <v>499</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00" t="s">
        <v>392</v>
      </c>
      <c r="C28" s="30" t="s">
        <v>459</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00" t="s">
        <v>393</v>
      </c>
      <c r="C29" s="30" t="s">
        <v>459</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00" t="s">
        <v>394</v>
      </c>
      <c r="C30" s="30" t="s">
        <v>459</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00" t="s">
        <v>395</v>
      </c>
      <c r="C31" s="30" t="s">
        <v>459</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00" t="s">
        <v>396</v>
      </c>
      <c r="C32" s="30" t="s">
        <v>459</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00" t="s">
        <v>397</v>
      </c>
      <c r="C33" s="285" t="s">
        <v>507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411</v>
      </c>
      <c r="B34" s="100" t="s">
        <v>398</v>
      </c>
      <c r="C34" s="284" t="s">
        <v>507</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401</v>
      </c>
      <c r="B35" s="100" t="s">
        <v>68</v>
      </c>
      <c r="C35" s="30" t="s">
        <v>500</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412</v>
      </c>
      <c r="B36" s="100" t="s">
        <v>399</v>
      </c>
      <c r="C36" s="30" t="s">
        <v>459</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402</v>
      </c>
      <c r="B37" s="100" t="s">
        <v>400</v>
      </c>
      <c r="C37" s="30" t="s">
        <v>609</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413</v>
      </c>
      <c r="B38" s="100" t="s">
        <v>226</v>
      </c>
      <c r="C38" s="30" t="s">
        <v>500</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48"/>
      <c r="B39" s="449"/>
      <c r="C39" s="450"/>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3" t="s">
        <v>403</v>
      </c>
      <c r="B40" s="100" t="s">
        <v>455</v>
      </c>
      <c r="C40" s="313" t="s">
        <v>584</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414</v>
      </c>
      <c r="B41" s="100" t="s">
        <v>437</v>
      </c>
      <c r="C41" s="269" t="s">
        <v>502</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404</v>
      </c>
      <c r="B42" s="100" t="s">
        <v>452</v>
      </c>
      <c r="C42" s="269" t="s">
        <v>502</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417</v>
      </c>
      <c r="B43" s="100" t="s">
        <v>418</v>
      </c>
      <c r="C43" s="269" t="s">
        <v>502</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405</v>
      </c>
      <c r="B44" s="100" t="s">
        <v>443</v>
      </c>
      <c r="C44" s="268" t="s">
        <v>502</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438</v>
      </c>
      <c r="B45" s="100" t="s">
        <v>444</v>
      </c>
      <c r="C45" s="269" t="s">
        <v>502</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406</v>
      </c>
      <c r="B46" s="100" t="s">
        <v>445</v>
      </c>
      <c r="C46" s="285" t="s">
        <v>502</v>
      </c>
      <c r="D46" s="267"/>
      <c r="E46" s="281"/>
      <c r="F46" s="267"/>
      <c r="G46" s="267"/>
      <c r="H46" s="267"/>
      <c r="I46" s="267"/>
      <c r="J46" s="267"/>
      <c r="K46" s="267"/>
      <c r="L46" s="267"/>
      <c r="M46" s="267"/>
      <c r="N46" s="267"/>
      <c r="O46" s="267"/>
      <c r="P46" s="267"/>
      <c r="Q46" s="267"/>
      <c r="R46" s="267"/>
      <c r="S46" s="267"/>
      <c r="T46" s="267"/>
      <c r="U46" s="267"/>
      <c r="V46" s="267"/>
    </row>
    <row r="47" spans="1:22" ht="18.75" customHeight="1" x14ac:dyDescent="0.25">
      <c r="A47" s="448"/>
      <c r="B47" s="449"/>
      <c r="C47" s="450"/>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439</v>
      </c>
      <c r="B48" s="100" t="s">
        <v>453</v>
      </c>
      <c r="C48" s="314" t="str">
        <f>CONCATENATE(ROUND('6.2. Паспорт фин осв ввод'!AC24,2)," млн рублей")</f>
        <v>10,42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407</v>
      </c>
      <c r="B49" s="100" t="s">
        <v>454</v>
      </c>
      <c r="C49" s="314" t="str">
        <f>CONCATENATE(ROUND('6.2. Паспорт фин осв ввод'!AV30,2)," млн рублей")</f>
        <v>0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39:C39"/>
    <mergeCell ref="A47:C47"/>
    <mergeCell ref="A5:C5"/>
    <mergeCell ref="A16:C16"/>
    <mergeCell ref="A18:C18"/>
    <mergeCell ref="A7:C7"/>
    <mergeCell ref="A9:C9"/>
    <mergeCell ref="A10:C10"/>
    <mergeCell ref="A12:C12"/>
    <mergeCell ref="A13:C13"/>
    <mergeCell ref="A15:C15"/>
    <mergeCell ref="A24:C24"/>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30" sqref="N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1"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51" t="str">
        <f>'1. паспорт местоположение'!A5:C5</f>
        <v>Год раскрытия информации: 2025 год</v>
      </c>
      <c r="B4" s="451"/>
      <c r="C4" s="451"/>
      <c r="D4" s="451"/>
      <c r="E4" s="451"/>
      <c r="F4" s="451"/>
      <c r="G4" s="451"/>
      <c r="H4" s="451"/>
      <c r="I4" s="451"/>
      <c r="J4" s="451"/>
      <c r="K4" s="451"/>
      <c r="L4" s="451"/>
      <c r="M4" s="451"/>
      <c r="N4" s="451"/>
      <c r="O4" s="451"/>
      <c r="P4" s="451"/>
      <c r="Q4" s="451"/>
      <c r="R4" s="451"/>
      <c r="S4" s="451"/>
      <c r="T4" s="451"/>
      <c r="U4" s="451"/>
      <c r="V4" s="451"/>
      <c r="W4" s="451"/>
      <c r="X4" s="451"/>
      <c r="Y4" s="451"/>
      <c r="Z4" s="451"/>
      <c r="AA4" s="451"/>
      <c r="AB4" s="451"/>
      <c r="AC4" s="451"/>
    </row>
    <row r="5" spans="1:29" ht="18.75" x14ac:dyDescent="0.3">
      <c r="A5" s="49"/>
      <c r="B5" s="49"/>
      <c r="C5" s="49"/>
      <c r="D5" s="49"/>
      <c r="E5" s="49"/>
      <c r="F5" s="49"/>
      <c r="AC5" s="14"/>
    </row>
    <row r="6" spans="1:29" ht="18.75" x14ac:dyDescent="0.25">
      <c r="A6" s="460" t="s">
        <v>6</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61" t="str">
        <f>'1. паспорт местоположение'!A9:C9</f>
        <v>Акционерное общество "Россети Янтарь" ДЗО  ПАО "Россети"</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row>
    <row r="9" spans="1:29" ht="18.75" customHeight="1" x14ac:dyDescent="0.25">
      <c r="A9" s="465" t="s">
        <v>5</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61" t="str">
        <f>'1. паспорт местоположение'!A12:C12</f>
        <v>N_22-1297</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row>
    <row r="12" spans="1:29" x14ac:dyDescent="0.25">
      <c r="A12" s="465" t="s">
        <v>4</v>
      </c>
      <c r="B12" s="465"/>
      <c r="C12" s="465"/>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85"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row>
    <row r="15" spans="1:29" ht="15.75" customHeight="1" x14ac:dyDescent="0.25">
      <c r="A15" s="465" t="s">
        <v>3</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row>
    <row r="16" spans="1:29" x14ac:dyDescent="0.25">
      <c r="A16" s="554"/>
      <c r="B16" s="554"/>
      <c r="C16" s="554"/>
      <c r="D16" s="554"/>
      <c r="E16" s="554"/>
      <c r="F16" s="554"/>
      <c r="G16" s="554"/>
      <c r="H16" s="554"/>
      <c r="I16" s="554"/>
      <c r="J16" s="554"/>
      <c r="K16" s="554"/>
      <c r="L16" s="554"/>
      <c r="M16" s="554"/>
      <c r="N16" s="554"/>
      <c r="O16" s="554"/>
      <c r="P16" s="554"/>
      <c r="Q16" s="554"/>
      <c r="R16" s="554"/>
      <c r="S16" s="554"/>
      <c r="T16" s="554"/>
      <c r="U16" s="554"/>
      <c r="V16" s="554"/>
      <c r="W16" s="554"/>
      <c r="X16" s="554"/>
      <c r="Y16" s="554"/>
      <c r="Z16" s="554"/>
      <c r="AA16" s="554"/>
      <c r="AB16" s="554"/>
      <c r="AC16" s="554"/>
    </row>
    <row r="17" spans="1:32" x14ac:dyDescent="0.25">
      <c r="A17" s="49"/>
      <c r="AB17" s="49"/>
    </row>
    <row r="18" spans="1:32" x14ac:dyDescent="0.25">
      <c r="A18" s="555" t="s">
        <v>427</v>
      </c>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c r="AA18" s="555"/>
      <c r="AB18" s="555"/>
      <c r="AC18" s="555"/>
    </row>
    <row r="19" spans="1:32" x14ac:dyDescent="0.25">
      <c r="A19" s="49"/>
      <c r="B19" s="49"/>
      <c r="C19" s="49"/>
      <c r="D19" s="49"/>
      <c r="E19" s="49"/>
      <c r="F19" s="49"/>
      <c r="AB19" s="49"/>
    </row>
    <row r="20" spans="1:32" ht="33" customHeight="1" x14ac:dyDescent="0.25">
      <c r="A20" s="541" t="s">
        <v>182</v>
      </c>
      <c r="B20" s="541" t="s">
        <v>181</v>
      </c>
      <c r="C20" s="557" t="s">
        <v>180</v>
      </c>
      <c r="D20" s="557"/>
      <c r="E20" s="543" t="s">
        <v>179</v>
      </c>
      <c r="F20" s="543"/>
      <c r="G20" s="547" t="s">
        <v>590</v>
      </c>
      <c r="H20" s="544" t="s">
        <v>573</v>
      </c>
      <c r="I20" s="545"/>
      <c r="J20" s="545"/>
      <c r="K20" s="545"/>
      <c r="L20" s="544" t="s">
        <v>574</v>
      </c>
      <c r="M20" s="545"/>
      <c r="N20" s="545"/>
      <c r="O20" s="545"/>
      <c r="P20" s="544" t="s">
        <v>575</v>
      </c>
      <c r="Q20" s="545"/>
      <c r="R20" s="545"/>
      <c r="S20" s="545"/>
      <c r="T20" s="544" t="s">
        <v>576</v>
      </c>
      <c r="U20" s="545"/>
      <c r="V20" s="545"/>
      <c r="W20" s="545"/>
      <c r="X20" s="544" t="s">
        <v>577</v>
      </c>
      <c r="Y20" s="545"/>
      <c r="Z20" s="545"/>
      <c r="AA20" s="545"/>
      <c r="AB20" s="556" t="s">
        <v>178</v>
      </c>
      <c r="AC20" s="556"/>
      <c r="AD20" s="57"/>
      <c r="AE20" s="57"/>
      <c r="AF20" s="57"/>
    </row>
    <row r="21" spans="1:32" ht="99.75" customHeight="1" x14ac:dyDescent="0.25">
      <c r="A21" s="542"/>
      <c r="B21" s="542"/>
      <c r="C21" s="557"/>
      <c r="D21" s="557"/>
      <c r="E21" s="543"/>
      <c r="F21" s="543"/>
      <c r="G21" s="548"/>
      <c r="H21" s="546" t="s">
        <v>1</v>
      </c>
      <c r="I21" s="546"/>
      <c r="J21" s="546" t="s">
        <v>8</v>
      </c>
      <c r="K21" s="546"/>
      <c r="L21" s="546" t="s">
        <v>1</v>
      </c>
      <c r="M21" s="546"/>
      <c r="N21" s="546" t="s">
        <v>8</v>
      </c>
      <c r="O21" s="546"/>
      <c r="P21" s="546" t="s">
        <v>1</v>
      </c>
      <c r="Q21" s="546"/>
      <c r="R21" s="546" t="s">
        <v>8</v>
      </c>
      <c r="S21" s="546"/>
      <c r="T21" s="546" t="s">
        <v>1</v>
      </c>
      <c r="U21" s="546"/>
      <c r="V21" s="546" t="s">
        <v>8</v>
      </c>
      <c r="W21" s="546"/>
      <c r="X21" s="546" t="s">
        <v>1</v>
      </c>
      <c r="Y21" s="546"/>
      <c r="Z21" s="546" t="s">
        <v>8</v>
      </c>
      <c r="AA21" s="546"/>
      <c r="AB21" s="556"/>
      <c r="AC21" s="556"/>
    </row>
    <row r="22" spans="1:32" ht="89.25" customHeight="1" x14ac:dyDescent="0.25">
      <c r="A22" s="533"/>
      <c r="B22" s="533"/>
      <c r="C22" s="386" t="s">
        <v>1</v>
      </c>
      <c r="D22" s="386" t="s">
        <v>177</v>
      </c>
      <c r="E22" s="422" t="s">
        <v>578</v>
      </c>
      <c r="F22" s="426" t="s">
        <v>612</v>
      </c>
      <c r="G22" s="549"/>
      <c r="H22" s="423" t="s">
        <v>408</v>
      </c>
      <c r="I22" s="423" t="s">
        <v>409</v>
      </c>
      <c r="J22" s="423" t="s">
        <v>408</v>
      </c>
      <c r="K22" s="423" t="s">
        <v>409</v>
      </c>
      <c r="L22" s="423" t="s">
        <v>408</v>
      </c>
      <c r="M22" s="423" t="s">
        <v>409</v>
      </c>
      <c r="N22" s="423" t="s">
        <v>408</v>
      </c>
      <c r="O22" s="423" t="s">
        <v>409</v>
      </c>
      <c r="P22" s="423" t="s">
        <v>408</v>
      </c>
      <c r="Q22" s="423" t="s">
        <v>409</v>
      </c>
      <c r="R22" s="423" t="s">
        <v>408</v>
      </c>
      <c r="S22" s="423" t="s">
        <v>409</v>
      </c>
      <c r="T22" s="423" t="s">
        <v>408</v>
      </c>
      <c r="U22" s="423" t="s">
        <v>409</v>
      </c>
      <c r="V22" s="423" t="s">
        <v>408</v>
      </c>
      <c r="W22" s="423" t="s">
        <v>409</v>
      </c>
      <c r="X22" s="423" t="s">
        <v>408</v>
      </c>
      <c r="Y22" s="423" t="s">
        <v>409</v>
      </c>
      <c r="Z22" s="423" t="s">
        <v>408</v>
      </c>
      <c r="AA22" s="423" t="s">
        <v>409</v>
      </c>
      <c r="AB22" s="424" t="s">
        <v>1</v>
      </c>
      <c r="AC22" s="424" t="s">
        <v>8</v>
      </c>
    </row>
    <row r="23" spans="1:32" ht="19.5" customHeight="1" x14ac:dyDescent="0.25">
      <c r="A23" s="344">
        <v>1</v>
      </c>
      <c r="B23" s="344">
        <v>2</v>
      </c>
      <c r="C23" s="387">
        <v>3</v>
      </c>
      <c r="D23" s="387">
        <v>4</v>
      </c>
      <c r="E23" s="387">
        <v>5</v>
      </c>
      <c r="F23" s="427">
        <v>6</v>
      </c>
      <c r="G23" s="387">
        <v>7</v>
      </c>
      <c r="H23" s="387">
        <v>8</v>
      </c>
      <c r="I23" s="387">
        <v>9</v>
      </c>
      <c r="J23" s="387">
        <v>10</v>
      </c>
      <c r="K23" s="387">
        <v>11</v>
      </c>
      <c r="L23" s="387">
        <v>12</v>
      </c>
      <c r="M23" s="387">
        <v>13</v>
      </c>
      <c r="N23" s="387">
        <v>14</v>
      </c>
      <c r="O23" s="387">
        <v>15</v>
      </c>
      <c r="P23" s="387">
        <v>16</v>
      </c>
      <c r="Q23" s="387">
        <v>17</v>
      </c>
      <c r="R23" s="387">
        <v>18</v>
      </c>
      <c r="S23" s="387">
        <v>19</v>
      </c>
      <c r="T23" s="387">
        <v>20</v>
      </c>
      <c r="U23" s="387">
        <v>21</v>
      </c>
      <c r="V23" s="387">
        <v>22</v>
      </c>
      <c r="W23" s="387">
        <v>23</v>
      </c>
      <c r="X23" s="387">
        <v>24</v>
      </c>
      <c r="Y23" s="387">
        <v>25</v>
      </c>
      <c r="Z23" s="387">
        <v>26</v>
      </c>
      <c r="AA23" s="387">
        <v>27</v>
      </c>
      <c r="AB23" s="387">
        <v>28</v>
      </c>
      <c r="AC23" s="387">
        <v>29</v>
      </c>
    </row>
    <row r="24" spans="1:32" ht="47.25" customHeight="1" x14ac:dyDescent="0.25">
      <c r="A24" s="356">
        <v>1</v>
      </c>
      <c r="B24" s="357" t="s">
        <v>176</v>
      </c>
      <c r="C24" s="358">
        <f>SUM(C25:C29)</f>
        <v>9.3210395500000001</v>
      </c>
      <c r="D24" s="358">
        <f t="shared" ref="D24" si="0">SUM(D25:D29)</f>
        <v>0</v>
      </c>
      <c r="E24" s="420">
        <f t="shared" ref="E24:F24" si="1">SUM(E25:E29)</f>
        <v>9.3210395500000001</v>
      </c>
      <c r="F24" s="428">
        <f t="shared" si="1"/>
        <v>9.3210395500000001</v>
      </c>
      <c r="G24" s="358">
        <f t="shared" ref="G24:AA24" si="2">SUM(G25:G29)</f>
        <v>0</v>
      </c>
      <c r="H24" s="358">
        <f t="shared" si="2"/>
        <v>0.35323753000000002</v>
      </c>
      <c r="I24" s="358">
        <f t="shared" ref="I24" si="3">SUM(I25:I29)</f>
        <v>0</v>
      </c>
      <c r="J24" s="358">
        <f t="shared" ref="J24:K24" si="4">SUM(J25:J29)</f>
        <v>0</v>
      </c>
      <c r="K24" s="358">
        <f t="shared" si="4"/>
        <v>0</v>
      </c>
      <c r="L24" s="358">
        <f t="shared" si="2"/>
        <v>8.9678020200000006</v>
      </c>
      <c r="M24" s="358">
        <f t="shared" ref="M24" si="5">SUM(M25:M29)</f>
        <v>8.9678020200000006</v>
      </c>
      <c r="N24" s="358">
        <f t="shared" ref="N24" si="6">SUM(N25:N29)</f>
        <v>10.423232140000001</v>
      </c>
      <c r="O24" s="358">
        <f t="shared" si="2"/>
        <v>10.190278880000001</v>
      </c>
      <c r="P24" s="358">
        <f>SUM(P25:P29)</f>
        <v>0</v>
      </c>
      <c r="Q24" s="358">
        <f t="shared" ref="Q24:S24" si="7">SUM(Q25:Q29)</f>
        <v>0</v>
      </c>
      <c r="R24" s="358">
        <f t="shared" si="7"/>
        <v>0</v>
      </c>
      <c r="S24" s="358">
        <f t="shared" si="7"/>
        <v>0</v>
      </c>
      <c r="T24" s="358">
        <f t="shared" si="2"/>
        <v>0</v>
      </c>
      <c r="U24" s="358">
        <f t="shared" si="2"/>
        <v>0</v>
      </c>
      <c r="V24" s="358">
        <f t="shared" si="2"/>
        <v>0</v>
      </c>
      <c r="W24" s="358">
        <f t="shared" si="2"/>
        <v>0</v>
      </c>
      <c r="X24" s="358">
        <f t="shared" ref="X24" si="8">SUM(X25:X29)</f>
        <v>0</v>
      </c>
      <c r="Y24" s="358">
        <f t="shared" si="2"/>
        <v>0</v>
      </c>
      <c r="Z24" s="358">
        <f t="shared" si="2"/>
        <v>0</v>
      </c>
      <c r="AA24" s="358">
        <f t="shared" si="2"/>
        <v>0</v>
      </c>
      <c r="AB24" s="358">
        <f>H24+L24+P24+T24+X24</f>
        <v>9.3210395500000001</v>
      </c>
      <c r="AC24" s="359">
        <f>J24+N24+R24+V24+Z24</f>
        <v>10.423232140000001</v>
      </c>
    </row>
    <row r="25" spans="1:32" ht="24" customHeight="1" x14ac:dyDescent="0.25">
      <c r="A25" s="360" t="s">
        <v>175</v>
      </c>
      <c r="B25" s="361" t="s">
        <v>174</v>
      </c>
      <c r="C25" s="358">
        <v>0</v>
      </c>
      <c r="D25" s="358">
        <v>0</v>
      </c>
      <c r="E25" s="421">
        <f>C25</f>
        <v>0</v>
      </c>
      <c r="F25" s="428">
        <f>E25-G25-J25</f>
        <v>0</v>
      </c>
      <c r="G25" s="362">
        <v>0</v>
      </c>
      <c r="H25" s="362">
        <v>0</v>
      </c>
      <c r="I25" s="362">
        <v>0</v>
      </c>
      <c r="J25" s="362">
        <v>0</v>
      </c>
      <c r="K25" s="362">
        <v>0</v>
      </c>
      <c r="L25" s="362">
        <v>0</v>
      </c>
      <c r="M25" s="362">
        <v>0</v>
      </c>
      <c r="N25" s="362">
        <v>0</v>
      </c>
      <c r="O25" s="362">
        <v>0</v>
      </c>
      <c r="P25" s="362">
        <v>0</v>
      </c>
      <c r="Q25" s="362">
        <v>0</v>
      </c>
      <c r="R25" s="362">
        <v>0</v>
      </c>
      <c r="S25" s="362">
        <v>0</v>
      </c>
      <c r="T25" s="362">
        <v>0</v>
      </c>
      <c r="U25" s="362">
        <v>0</v>
      </c>
      <c r="V25" s="362">
        <v>0</v>
      </c>
      <c r="W25" s="362">
        <v>0</v>
      </c>
      <c r="X25" s="362">
        <v>0</v>
      </c>
      <c r="Y25" s="362">
        <v>0</v>
      </c>
      <c r="Z25" s="362">
        <v>0</v>
      </c>
      <c r="AA25" s="362">
        <v>0</v>
      </c>
      <c r="AB25" s="358">
        <f t="shared" ref="AB25:AB64" si="9">H25+L25+P25+T25+X25</f>
        <v>0</v>
      </c>
      <c r="AC25" s="359">
        <f t="shared" ref="AC25:AC64" si="10">J25+N25+R25+V25+Z25</f>
        <v>0</v>
      </c>
    </row>
    <row r="26" spans="1:32" x14ac:dyDescent="0.25">
      <c r="A26" s="360" t="s">
        <v>173</v>
      </c>
      <c r="B26" s="361" t="s">
        <v>172</v>
      </c>
      <c r="C26" s="358">
        <v>0</v>
      </c>
      <c r="D26" s="358">
        <v>0</v>
      </c>
      <c r="E26" s="421">
        <f>C26</f>
        <v>0</v>
      </c>
      <c r="F26" s="428">
        <f t="shared" ref="F26:F64" si="11">E26-G26-J26</f>
        <v>0</v>
      </c>
      <c r="G26" s="362">
        <v>0</v>
      </c>
      <c r="H26" s="362">
        <v>0</v>
      </c>
      <c r="I26" s="362">
        <v>0</v>
      </c>
      <c r="J26" s="362">
        <v>0</v>
      </c>
      <c r="K26" s="362">
        <v>0</v>
      </c>
      <c r="L26" s="362">
        <v>0</v>
      </c>
      <c r="M26" s="362">
        <v>0</v>
      </c>
      <c r="N26" s="362">
        <v>0</v>
      </c>
      <c r="O26" s="362">
        <v>0</v>
      </c>
      <c r="P26" s="362">
        <v>0</v>
      </c>
      <c r="Q26" s="362">
        <v>0</v>
      </c>
      <c r="R26" s="362">
        <v>0</v>
      </c>
      <c r="S26" s="362">
        <v>0</v>
      </c>
      <c r="T26" s="362">
        <v>0</v>
      </c>
      <c r="U26" s="362">
        <v>0</v>
      </c>
      <c r="V26" s="362">
        <v>0</v>
      </c>
      <c r="W26" s="362">
        <v>0</v>
      </c>
      <c r="X26" s="362">
        <v>0</v>
      </c>
      <c r="Y26" s="362">
        <v>0</v>
      </c>
      <c r="Z26" s="362">
        <v>0</v>
      </c>
      <c r="AA26" s="362">
        <v>0</v>
      </c>
      <c r="AB26" s="358">
        <f t="shared" si="9"/>
        <v>0</v>
      </c>
      <c r="AC26" s="359">
        <f t="shared" si="10"/>
        <v>0</v>
      </c>
    </row>
    <row r="27" spans="1:32" ht="31.5" x14ac:dyDescent="0.25">
      <c r="A27" s="360" t="s">
        <v>171</v>
      </c>
      <c r="B27" s="361" t="s">
        <v>364</v>
      </c>
      <c r="C27" s="358">
        <v>9.3210395500000001</v>
      </c>
      <c r="D27" s="358">
        <v>0</v>
      </c>
      <c r="E27" s="421">
        <f>C27</f>
        <v>9.3210395500000001</v>
      </c>
      <c r="F27" s="428">
        <f t="shared" si="11"/>
        <v>9.3210395500000001</v>
      </c>
      <c r="G27" s="362">
        <v>0</v>
      </c>
      <c r="H27" s="362">
        <v>0.35323753000000002</v>
      </c>
      <c r="I27" s="362">
        <v>0</v>
      </c>
      <c r="J27" s="362">
        <v>0</v>
      </c>
      <c r="K27" s="362">
        <v>0</v>
      </c>
      <c r="L27" s="362">
        <v>8.9678020200000006</v>
      </c>
      <c r="M27" s="362">
        <v>8.9678020200000006</v>
      </c>
      <c r="N27" s="362">
        <v>10.423232140000001</v>
      </c>
      <c r="O27" s="362">
        <v>10.190278880000001</v>
      </c>
      <c r="P27" s="362">
        <v>0</v>
      </c>
      <c r="Q27" s="362">
        <v>0</v>
      </c>
      <c r="R27" s="362">
        <v>0</v>
      </c>
      <c r="S27" s="362">
        <v>0</v>
      </c>
      <c r="T27" s="362">
        <v>0</v>
      </c>
      <c r="U27" s="362">
        <v>0</v>
      </c>
      <c r="V27" s="363">
        <v>0</v>
      </c>
      <c r="W27" s="362">
        <v>0</v>
      </c>
      <c r="X27" s="362">
        <v>0</v>
      </c>
      <c r="Y27" s="362">
        <v>0</v>
      </c>
      <c r="Z27" s="362">
        <v>0</v>
      </c>
      <c r="AA27" s="362">
        <v>0</v>
      </c>
      <c r="AB27" s="358">
        <f t="shared" si="9"/>
        <v>9.3210395500000001</v>
      </c>
      <c r="AC27" s="359">
        <f t="shared" si="10"/>
        <v>10.423232140000001</v>
      </c>
    </row>
    <row r="28" spans="1:32" x14ac:dyDescent="0.25">
      <c r="A28" s="360" t="s">
        <v>170</v>
      </c>
      <c r="B28" s="361" t="s">
        <v>169</v>
      </c>
      <c r="C28" s="358">
        <v>0</v>
      </c>
      <c r="D28" s="358">
        <v>0</v>
      </c>
      <c r="E28" s="421">
        <f>C28</f>
        <v>0</v>
      </c>
      <c r="F28" s="428">
        <f t="shared" si="11"/>
        <v>0</v>
      </c>
      <c r="G28" s="362">
        <v>0</v>
      </c>
      <c r="H28" s="362">
        <v>0</v>
      </c>
      <c r="I28" s="362">
        <v>0</v>
      </c>
      <c r="J28" s="362">
        <v>0</v>
      </c>
      <c r="K28" s="362">
        <v>0</v>
      </c>
      <c r="L28" s="362">
        <v>0</v>
      </c>
      <c r="M28" s="362">
        <v>0</v>
      </c>
      <c r="N28" s="362">
        <v>0</v>
      </c>
      <c r="O28" s="362">
        <v>0</v>
      </c>
      <c r="P28" s="362">
        <v>0</v>
      </c>
      <c r="Q28" s="362">
        <v>0</v>
      </c>
      <c r="R28" s="362">
        <v>0</v>
      </c>
      <c r="S28" s="362">
        <v>0</v>
      </c>
      <c r="T28" s="362">
        <v>0</v>
      </c>
      <c r="U28" s="362">
        <v>0</v>
      </c>
      <c r="V28" s="362">
        <v>0</v>
      </c>
      <c r="W28" s="362">
        <v>0</v>
      </c>
      <c r="X28" s="362">
        <v>0</v>
      </c>
      <c r="Y28" s="362">
        <v>0</v>
      </c>
      <c r="Z28" s="362">
        <v>0</v>
      </c>
      <c r="AA28" s="362">
        <v>0</v>
      </c>
      <c r="AB28" s="358">
        <f t="shared" si="9"/>
        <v>0</v>
      </c>
      <c r="AC28" s="359">
        <f t="shared" si="10"/>
        <v>0</v>
      </c>
    </row>
    <row r="29" spans="1:32" x14ac:dyDescent="0.25">
      <c r="A29" s="360" t="s">
        <v>168</v>
      </c>
      <c r="B29" s="56" t="s">
        <v>167</v>
      </c>
      <c r="C29" s="358">
        <v>0</v>
      </c>
      <c r="D29" s="358">
        <v>0</v>
      </c>
      <c r="E29" s="421">
        <f>C29</f>
        <v>0</v>
      </c>
      <c r="F29" s="428">
        <f t="shared" si="11"/>
        <v>0</v>
      </c>
      <c r="G29" s="362">
        <v>0</v>
      </c>
      <c r="H29" s="362">
        <v>0</v>
      </c>
      <c r="I29" s="362">
        <v>0</v>
      </c>
      <c r="J29" s="362">
        <v>0</v>
      </c>
      <c r="K29" s="362">
        <v>0</v>
      </c>
      <c r="L29" s="362">
        <v>0</v>
      </c>
      <c r="M29" s="362">
        <v>0</v>
      </c>
      <c r="N29" s="362">
        <v>0</v>
      </c>
      <c r="O29" s="362">
        <v>0</v>
      </c>
      <c r="P29" s="362">
        <v>0</v>
      </c>
      <c r="Q29" s="362">
        <v>0</v>
      </c>
      <c r="R29" s="362">
        <v>0</v>
      </c>
      <c r="S29" s="362">
        <v>0</v>
      </c>
      <c r="T29" s="362">
        <v>0</v>
      </c>
      <c r="U29" s="362">
        <v>0</v>
      </c>
      <c r="V29" s="362">
        <v>0</v>
      </c>
      <c r="W29" s="362">
        <v>0</v>
      </c>
      <c r="X29" s="362">
        <v>0</v>
      </c>
      <c r="Y29" s="362">
        <v>0</v>
      </c>
      <c r="Z29" s="362">
        <v>0</v>
      </c>
      <c r="AA29" s="362">
        <v>0</v>
      </c>
      <c r="AB29" s="358">
        <f t="shared" si="9"/>
        <v>0</v>
      </c>
      <c r="AC29" s="359">
        <f t="shared" si="10"/>
        <v>0</v>
      </c>
    </row>
    <row r="30" spans="1:32" ht="47.25" x14ac:dyDescent="0.25">
      <c r="A30" s="356" t="s">
        <v>60</v>
      </c>
      <c r="B30" s="357" t="s">
        <v>166</v>
      </c>
      <c r="C30" s="358">
        <f t="shared" ref="C30:AA30" si="12">SUM(C31:C34)</f>
        <v>7.7675329599999996</v>
      </c>
      <c r="D30" s="358">
        <f t="shared" ref="D30" si="13">SUM(D31:D34)</f>
        <v>0</v>
      </c>
      <c r="E30" s="420">
        <f t="shared" ref="E30:F30" si="14">SUM(E31:E34)</f>
        <v>7.7675329599999996</v>
      </c>
      <c r="F30" s="428">
        <f t="shared" si="14"/>
        <v>7.5345797000000001</v>
      </c>
      <c r="G30" s="358">
        <f t="shared" si="12"/>
        <v>0</v>
      </c>
      <c r="H30" s="358">
        <f t="shared" si="12"/>
        <v>0.29436461000000003</v>
      </c>
      <c r="I30" s="358">
        <f t="shared" ref="I30" si="15">SUM(I31:I34)</f>
        <v>0</v>
      </c>
      <c r="J30" s="358">
        <f t="shared" ref="J30:K30" si="16">SUM(J31:J34)</f>
        <v>0.23295326000000002</v>
      </c>
      <c r="K30" s="358">
        <f t="shared" si="16"/>
        <v>0</v>
      </c>
      <c r="L30" s="358">
        <f t="shared" si="12"/>
        <v>7.4731683499999999</v>
      </c>
      <c r="M30" s="358">
        <f t="shared" ref="M30" si="17">SUM(M31:M34)</f>
        <v>7.4731683499999999</v>
      </c>
      <c r="N30" s="358">
        <f t="shared" ref="N30" si="18">SUM(N31:N34)</f>
        <v>8.5427234500000004</v>
      </c>
      <c r="O30" s="358">
        <f t="shared" si="12"/>
        <v>8.5427234500000004</v>
      </c>
      <c r="P30" s="358">
        <f t="shared" si="12"/>
        <v>0</v>
      </c>
      <c r="Q30" s="358">
        <f t="shared" si="12"/>
        <v>0</v>
      </c>
      <c r="R30" s="358">
        <f t="shared" si="12"/>
        <v>0</v>
      </c>
      <c r="S30" s="358">
        <f t="shared" si="12"/>
        <v>0</v>
      </c>
      <c r="T30" s="358">
        <f t="shared" si="12"/>
        <v>0</v>
      </c>
      <c r="U30" s="358">
        <f t="shared" si="12"/>
        <v>0</v>
      </c>
      <c r="V30" s="358">
        <f t="shared" si="12"/>
        <v>0</v>
      </c>
      <c r="W30" s="358">
        <f t="shared" si="12"/>
        <v>0</v>
      </c>
      <c r="X30" s="358">
        <f t="shared" ref="X30" si="19">SUM(X31:X34)</f>
        <v>0</v>
      </c>
      <c r="Y30" s="358">
        <f t="shared" si="12"/>
        <v>0</v>
      </c>
      <c r="Z30" s="358">
        <f t="shared" si="12"/>
        <v>0</v>
      </c>
      <c r="AA30" s="358">
        <f t="shared" si="12"/>
        <v>0</v>
      </c>
      <c r="AB30" s="358">
        <f t="shared" si="9"/>
        <v>7.7675329599999996</v>
      </c>
      <c r="AC30" s="359">
        <f t="shared" si="10"/>
        <v>8.7756767100000008</v>
      </c>
    </row>
    <row r="31" spans="1:32" x14ac:dyDescent="0.25">
      <c r="A31" s="356" t="s">
        <v>165</v>
      </c>
      <c r="B31" s="361" t="s">
        <v>164</v>
      </c>
      <c r="C31" s="358">
        <v>0.29436461000000003</v>
      </c>
      <c r="D31" s="358">
        <v>0</v>
      </c>
      <c r="E31" s="421">
        <f t="shared" ref="E31:E64" si="20">C31</f>
        <v>0.29436461000000003</v>
      </c>
      <c r="F31" s="428">
        <f t="shared" si="11"/>
        <v>6.1411350000000003E-2</v>
      </c>
      <c r="G31" s="362">
        <v>0</v>
      </c>
      <c r="H31" s="362">
        <v>0.29436461000000003</v>
      </c>
      <c r="I31" s="362">
        <v>0</v>
      </c>
      <c r="J31" s="362">
        <v>0.23295326000000002</v>
      </c>
      <c r="K31" s="362">
        <v>0</v>
      </c>
      <c r="L31" s="362">
        <v>0</v>
      </c>
      <c r="M31" s="362">
        <v>0</v>
      </c>
      <c r="N31" s="362">
        <v>0</v>
      </c>
      <c r="O31" s="362">
        <v>0</v>
      </c>
      <c r="P31" s="362">
        <v>0</v>
      </c>
      <c r="Q31" s="362">
        <v>0</v>
      </c>
      <c r="R31" s="362">
        <v>0</v>
      </c>
      <c r="S31" s="362">
        <v>0</v>
      </c>
      <c r="T31" s="362">
        <v>0</v>
      </c>
      <c r="U31" s="362">
        <v>0</v>
      </c>
      <c r="V31" s="362">
        <v>0</v>
      </c>
      <c r="W31" s="362">
        <v>0</v>
      </c>
      <c r="X31" s="362">
        <v>0</v>
      </c>
      <c r="Y31" s="362">
        <v>0</v>
      </c>
      <c r="Z31" s="362">
        <v>0</v>
      </c>
      <c r="AA31" s="362">
        <v>0</v>
      </c>
      <c r="AB31" s="358">
        <f t="shared" si="9"/>
        <v>0.29436461000000003</v>
      </c>
      <c r="AC31" s="359">
        <f t="shared" si="10"/>
        <v>0.23295326000000002</v>
      </c>
    </row>
    <row r="32" spans="1:32" ht="31.5" x14ac:dyDescent="0.25">
      <c r="A32" s="356" t="s">
        <v>163</v>
      </c>
      <c r="B32" s="361" t="s">
        <v>162</v>
      </c>
      <c r="C32" s="358">
        <v>5.3687051700000001</v>
      </c>
      <c r="D32" s="358">
        <v>0</v>
      </c>
      <c r="E32" s="421">
        <f t="shared" si="20"/>
        <v>5.3687051700000001</v>
      </c>
      <c r="F32" s="428">
        <f t="shared" si="11"/>
        <v>5.3687051700000001</v>
      </c>
      <c r="G32" s="362">
        <v>0</v>
      </c>
      <c r="H32" s="362">
        <v>0</v>
      </c>
      <c r="I32" s="362">
        <v>0</v>
      </c>
      <c r="J32" s="362">
        <v>0</v>
      </c>
      <c r="K32" s="362">
        <v>0</v>
      </c>
      <c r="L32" s="362">
        <v>5.3687051700000001</v>
      </c>
      <c r="M32" s="362">
        <v>5.3687051700000001</v>
      </c>
      <c r="N32" s="362">
        <v>6.1753283400000001</v>
      </c>
      <c r="O32" s="362">
        <v>6.1753283400000001</v>
      </c>
      <c r="P32" s="362">
        <v>0</v>
      </c>
      <c r="Q32" s="362">
        <v>0</v>
      </c>
      <c r="R32" s="362">
        <v>0</v>
      </c>
      <c r="S32" s="362">
        <v>0</v>
      </c>
      <c r="T32" s="362">
        <v>0</v>
      </c>
      <c r="U32" s="362">
        <v>0</v>
      </c>
      <c r="V32" s="362">
        <v>0</v>
      </c>
      <c r="W32" s="362">
        <v>0</v>
      </c>
      <c r="X32" s="362">
        <v>0</v>
      </c>
      <c r="Y32" s="362">
        <v>0</v>
      </c>
      <c r="Z32" s="362">
        <v>0</v>
      </c>
      <c r="AA32" s="362">
        <v>0</v>
      </c>
      <c r="AB32" s="358">
        <f t="shared" si="9"/>
        <v>5.3687051700000001</v>
      </c>
      <c r="AC32" s="359">
        <f t="shared" si="10"/>
        <v>6.1753283400000001</v>
      </c>
    </row>
    <row r="33" spans="1:29" x14ac:dyDescent="0.25">
      <c r="A33" s="356" t="s">
        <v>161</v>
      </c>
      <c r="B33" s="361" t="s">
        <v>160</v>
      </c>
      <c r="C33" s="358">
        <v>1.36419863</v>
      </c>
      <c r="D33" s="358">
        <v>0</v>
      </c>
      <c r="E33" s="421">
        <f t="shared" si="20"/>
        <v>1.36419863</v>
      </c>
      <c r="F33" s="428">
        <f t="shared" si="11"/>
        <v>1.36419863</v>
      </c>
      <c r="G33" s="362">
        <v>0</v>
      </c>
      <c r="H33" s="362">
        <v>0</v>
      </c>
      <c r="I33" s="362">
        <v>0</v>
      </c>
      <c r="J33" s="362">
        <v>0</v>
      </c>
      <c r="K33" s="362">
        <v>0</v>
      </c>
      <c r="L33" s="362">
        <v>1.36419863</v>
      </c>
      <c r="M33" s="362">
        <v>1.36419863</v>
      </c>
      <c r="N33" s="362">
        <v>0.90783792000000008</v>
      </c>
      <c r="O33" s="362">
        <v>0.90783792000000008</v>
      </c>
      <c r="P33" s="362">
        <v>0</v>
      </c>
      <c r="Q33" s="362">
        <v>0</v>
      </c>
      <c r="R33" s="362">
        <v>0</v>
      </c>
      <c r="S33" s="362">
        <v>0</v>
      </c>
      <c r="T33" s="362">
        <v>0</v>
      </c>
      <c r="U33" s="362">
        <v>0</v>
      </c>
      <c r="V33" s="362">
        <v>0</v>
      </c>
      <c r="W33" s="362">
        <v>0</v>
      </c>
      <c r="X33" s="362">
        <v>0</v>
      </c>
      <c r="Y33" s="362">
        <v>0</v>
      </c>
      <c r="Z33" s="362">
        <v>0</v>
      </c>
      <c r="AA33" s="362">
        <v>0</v>
      </c>
      <c r="AB33" s="358">
        <f t="shared" si="9"/>
        <v>1.36419863</v>
      </c>
      <c r="AC33" s="359">
        <f t="shared" si="10"/>
        <v>0.90783792000000008</v>
      </c>
    </row>
    <row r="34" spans="1:29" x14ac:dyDescent="0.25">
      <c r="A34" s="356" t="s">
        <v>159</v>
      </c>
      <c r="B34" s="361" t="s">
        <v>158</v>
      </c>
      <c r="C34" s="358">
        <v>0.74026455000000002</v>
      </c>
      <c r="D34" s="358">
        <v>0</v>
      </c>
      <c r="E34" s="421">
        <f t="shared" si="20"/>
        <v>0.74026455000000002</v>
      </c>
      <c r="F34" s="428">
        <f t="shared" si="11"/>
        <v>0.74026455000000002</v>
      </c>
      <c r="G34" s="362">
        <v>0</v>
      </c>
      <c r="H34" s="362">
        <v>0</v>
      </c>
      <c r="I34" s="362">
        <v>0</v>
      </c>
      <c r="J34" s="362">
        <v>0</v>
      </c>
      <c r="K34" s="362">
        <v>0</v>
      </c>
      <c r="L34" s="362">
        <v>0.74026455000000002</v>
      </c>
      <c r="M34" s="362">
        <v>0.74026455000000002</v>
      </c>
      <c r="N34" s="362">
        <v>1.4595571899999999</v>
      </c>
      <c r="O34" s="362">
        <v>1.4595571899999999</v>
      </c>
      <c r="P34" s="362">
        <v>0</v>
      </c>
      <c r="Q34" s="362">
        <v>0</v>
      </c>
      <c r="R34" s="362">
        <v>0</v>
      </c>
      <c r="S34" s="362">
        <v>0</v>
      </c>
      <c r="T34" s="362">
        <v>0</v>
      </c>
      <c r="U34" s="362">
        <v>0</v>
      </c>
      <c r="V34" s="362">
        <v>0</v>
      </c>
      <c r="W34" s="362">
        <v>0</v>
      </c>
      <c r="X34" s="362">
        <v>0</v>
      </c>
      <c r="Y34" s="362">
        <v>0</v>
      </c>
      <c r="Z34" s="362">
        <v>0</v>
      </c>
      <c r="AA34" s="362">
        <v>0</v>
      </c>
      <c r="AB34" s="358">
        <f t="shared" si="9"/>
        <v>0.74026455000000002</v>
      </c>
      <c r="AC34" s="359">
        <f t="shared" si="10"/>
        <v>1.4595571899999999</v>
      </c>
    </row>
    <row r="35" spans="1:29" ht="31.5" x14ac:dyDescent="0.25">
      <c r="A35" s="356" t="s">
        <v>59</v>
      </c>
      <c r="B35" s="357" t="s">
        <v>157</v>
      </c>
      <c r="C35" s="358">
        <v>0</v>
      </c>
      <c r="D35" s="358">
        <v>0</v>
      </c>
      <c r="E35" s="421">
        <f t="shared" si="20"/>
        <v>0</v>
      </c>
      <c r="F35" s="428">
        <f t="shared" si="11"/>
        <v>0</v>
      </c>
      <c r="G35" s="358">
        <v>0</v>
      </c>
      <c r="H35" s="358">
        <v>0</v>
      </c>
      <c r="I35" s="358">
        <v>0</v>
      </c>
      <c r="J35" s="358">
        <v>0</v>
      </c>
      <c r="K35" s="358">
        <v>0</v>
      </c>
      <c r="L35" s="358">
        <v>0</v>
      </c>
      <c r="M35" s="358">
        <v>0</v>
      </c>
      <c r="N35" s="358">
        <v>0</v>
      </c>
      <c r="O35" s="358">
        <v>0</v>
      </c>
      <c r="P35" s="358">
        <v>0</v>
      </c>
      <c r="Q35" s="358">
        <v>0</v>
      </c>
      <c r="R35" s="358">
        <v>0</v>
      </c>
      <c r="S35" s="358">
        <v>0</v>
      </c>
      <c r="T35" s="358">
        <v>0</v>
      </c>
      <c r="U35" s="358">
        <v>0</v>
      </c>
      <c r="V35" s="364">
        <v>0</v>
      </c>
      <c r="W35" s="358">
        <v>0</v>
      </c>
      <c r="X35" s="358">
        <v>0</v>
      </c>
      <c r="Y35" s="358">
        <v>0</v>
      </c>
      <c r="Z35" s="358">
        <v>0</v>
      </c>
      <c r="AA35" s="358">
        <v>0</v>
      </c>
      <c r="AB35" s="358">
        <f t="shared" si="9"/>
        <v>0</v>
      </c>
      <c r="AC35" s="359">
        <f t="shared" si="10"/>
        <v>0</v>
      </c>
    </row>
    <row r="36" spans="1:29" ht="31.5" x14ac:dyDescent="0.25">
      <c r="A36" s="360" t="s">
        <v>156</v>
      </c>
      <c r="B36" s="365" t="s">
        <v>155</v>
      </c>
      <c r="C36" s="366">
        <v>0</v>
      </c>
      <c r="D36" s="366">
        <v>0</v>
      </c>
      <c r="E36" s="421">
        <f t="shared" si="20"/>
        <v>0</v>
      </c>
      <c r="F36" s="428">
        <f t="shared" si="11"/>
        <v>0</v>
      </c>
      <c r="G36" s="362">
        <v>0</v>
      </c>
      <c r="H36" s="362">
        <v>0</v>
      </c>
      <c r="I36" s="362">
        <v>0</v>
      </c>
      <c r="J36" s="362">
        <v>0</v>
      </c>
      <c r="K36" s="362">
        <v>0</v>
      </c>
      <c r="L36" s="362">
        <v>0</v>
      </c>
      <c r="M36" s="362">
        <v>0</v>
      </c>
      <c r="N36" s="362">
        <v>0</v>
      </c>
      <c r="O36" s="362">
        <v>0</v>
      </c>
      <c r="P36" s="362">
        <v>0</v>
      </c>
      <c r="Q36" s="362">
        <v>0</v>
      </c>
      <c r="R36" s="362">
        <v>0</v>
      </c>
      <c r="S36" s="362">
        <v>0</v>
      </c>
      <c r="T36" s="362">
        <v>0</v>
      </c>
      <c r="U36" s="362">
        <v>0</v>
      </c>
      <c r="V36" s="362">
        <v>0</v>
      </c>
      <c r="W36" s="362">
        <v>0</v>
      </c>
      <c r="X36" s="362">
        <v>0</v>
      </c>
      <c r="Y36" s="362">
        <v>0</v>
      </c>
      <c r="Z36" s="362">
        <v>0</v>
      </c>
      <c r="AA36" s="362">
        <v>0</v>
      </c>
      <c r="AB36" s="358">
        <f t="shared" si="9"/>
        <v>0</v>
      </c>
      <c r="AC36" s="359">
        <f t="shared" si="10"/>
        <v>0</v>
      </c>
    </row>
    <row r="37" spans="1:29" x14ac:dyDescent="0.25">
      <c r="A37" s="360" t="s">
        <v>154</v>
      </c>
      <c r="B37" s="365" t="s">
        <v>144</v>
      </c>
      <c r="C37" s="366">
        <v>6.3E-2</v>
      </c>
      <c r="D37" s="366">
        <v>0</v>
      </c>
      <c r="E37" s="421">
        <f t="shared" si="20"/>
        <v>6.3E-2</v>
      </c>
      <c r="F37" s="428">
        <f t="shared" si="11"/>
        <v>6.3E-2</v>
      </c>
      <c r="G37" s="362">
        <v>0</v>
      </c>
      <c r="H37" s="362">
        <v>0</v>
      </c>
      <c r="I37" s="362">
        <v>0</v>
      </c>
      <c r="J37" s="362">
        <v>0</v>
      </c>
      <c r="K37" s="362">
        <v>0</v>
      </c>
      <c r="L37" s="362">
        <v>6.3E-2</v>
      </c>
      <c r="M37" s="362">
        <v>0</v>
      </c>
      <c r="N37" s="362">
        <v>0</v>
      </c>
      <c r="O37" s="362">
        <v>0</v>
      </c>
      <c r="P37" s="362">
        <v>0</v>
      </c>
      <c r="Q37" s="362">
        <v>0</v>
      </c>
      <c r="R37" s="362">
        <v>0</v>
      </c>
      <c r="S37" s="362">
        <v>0</v>
      </c>
      <c r="T37" s="362">
        <v>0</v>
      </c>
      <c r="U37" s="362">
        <v>0</v>
      </c>
      <c r="V37" s="363">
        <v>0</v>
      </c>
      <c r="W37" s="362">
        <v>0</v>
      </c>
      <c r="X37" s="362">
        <v>0</v>
      </c>
      <c r="Y37" s="362">
        <v>0</v>
      </c>
      <c r="Z37" s="362">
        <v>0</v>
      </c>
      <c r="AA37" s="362">
        <v>0</v>
      </c>
      <c r="AB37" s="358">
        <f t="shared" si="9"/>
        <v>6.3E-2</v>
      </c>
      <c r="AC37" s="359">
        <f t="shared" si="10"/>
        <v>0</v>
      </c>
    </row>
    <row r="38" spans="1:29" x14ac:dyDescent="0.25">
      <c r="A38" s="360" t="s">
        <v>153</v>
      </c>
      <c r="B38" s="365" t="s">
        <v>142</v>
      </c>
      <c r="C38" s="366">
        <v>0</v>
      </c>
      <c r="D38" s="366">
        <v>0</v>
      </c>
      <c r="E38" s="421">
        <f t="shared" si="20"/>
        <v>0</v>
      </c>
      <c r="F38" s="428">
        <f t="shared" si="11"/>
        <v>0</v>
      </c>
      <c r="G38" s="362">
        <v>0</v>
      </c>
      <c r="H38" s="362">
        <v>0</v>
      </c>
      <c r="I38" s="362">
        <v>0</v>
      </c>
      <c r="J38" s="362">
        <v>0</v>
      </c>
      <c r="K38" s="362">
        <v>0</v>
      </c>
      <c r="L38" s="362">
        <v>0</v>
      </c>
      <c r="M38" s="362">
        <v>0</v>
      </c>
      <c r="N38" s="362">
        <v>0</v>
      </c>
      <c r="O38" s="362">
        <v>0</v>
      </c>
      <c r="P38" s="362">
        <v>0</v>
      </c>
      <c r="Q38" s="362">
        <v>0</v>
      </c>
      <c r="R38" s="362">
        <v>0</v>
      </c>
      <c r="S38" s="362">
        <v>0</v>
      </c>
      <c r="T38" s="362">
        <v>0</v>
      </c>
      <c r="U38" s="362">
        <v>0</v>
      </c>
      <c r="V38" s="362">
        <v>0</v>
      </c>
      <c r="W38" s="362">
        <v>0</v>
      </c>
      <c r="X38" s="362">
        <v>0</v>
      </c>
      <c r="Y38" s="362">
        <v>0</v>
      </c>
      <c r="Z38" s="362">
        <v>0</v>
      </c>
      <c r="AA38" s="362">
        <v>0</v>
      </c>
      <c r="AB38" s="358">
        <f t="shared" si="9"/>
        <v>0</v>
      </c>
      <c r="AC38" s="359">
        <f t="shared" si="10"/>
        <v>0</v>
      </c>
    </row>
    <row r="39" spans="1:29" ht="31.5" x14ac:dyDescent="0.25">
      <c r="A39" s="360" t="s">
        <v>152</v>
      </c>
      <c r="B39" s="361" t="s">
        <v>140</v>
      </c>
      <c r="C39" s="358">
        <v>1.931</v>
      </c>
      <c r="D39" s="358">
        <v>0</v>
      </c>
      <c r="E39" s="421">
        <f t="shared" si="20"/>
        <v>1.931</v>
      </c>
      <c r="F39" s="428">
        <f t="shared" si="11"/>
        <v>1.931</v>
      </c>
      <c r="G39" s="362">
        <v>0</v>
      </c>
      <c r="H39" s="362">
        <v>0</v>
      </c>
      <c r="I39" s="362">
        <v>0</v>
      </c>
      <c r="J39" s="362">
        <v>0</v>
      </c>
      <c r="K39" s="362">
        <v>0</v>
      </c>
      <c r="L39" s="362">
        <v>1.931</v>
      </c>
      <c r="M39" s="362">
        <v>0</v>
      </c>
      <c r="N39" s="362">
        <v>0</v>
      </c>
      <c r="O39" s="362">
        <v>0</v>
      </c>
      <c r="P39" s="362">
        <v>0</v>
      </c>
      <c r="Q39" s="362">
        <v>0</v>
      </c>
      <c r="R39" s="362">
        <v>0</v>
      </c>
      <c r="S39" s="362">
        <v>0</v>
      </c>
      <c r="T39" s="362">
        <v>0</v>
      </c>
      <c r="U39" s="362">
        <v>0</v>
      </c>
      <c r="V39" s="362">
        <v>0</v>
      </c>
      <c r="W39" s="362">
        <v>0</v>
      </c>
      <c r="X39" s="362">
        <v>0</v>
      </c>
      <c r="Y39" s="362">
        <v>0</v>
      </c>
      <c r="Z39" s="362">
        <v>0</v>
      </c>
      <c r="AA39" s="362">
        <v>0</v>
      </c>
      <c r="AB39" s="358">
        <f t="shared" si="9"/>
        <v>1.931</v>
      </c>
      <c r="AC39" s="359">
        <f t="shared" si="10"/>
        <v>0</v>
      </c>
    </row>
    <row r="40" spans="1:29" ht="31.5" x14ac:dyDescent="0.25">
      <c r="A40" s="360" t="s">
        <v>151</v>
      </c>
      <c r="B40" s="361" t="s">
        <v>138</v>
      </c>
      <c r="C40" s="358">
        <v>0</v>
      </c>
      <c r="D40" s="358">
        <v>0</v>
      </c>
      <c r="E40" s="421">
        <f t="shared" si="20"/>
        <v>0</v>
      </c>
      <c r="F40" s="428">
        <f t="shared" si="11"/>
        <v>0</v>
      </c>
      <c r="G40" s="362">
        <v>0</v>
      </c>
      <c r="H40" s="362">
        <v>0</v>
      </c>
      <c r="I40" s="362">
        <v>0</v>
      </c>
      <c r="J40" s="362">
        <v>0</v>
      </c>
      <c r="K40" s="362">
        <v>0</v>
      </c>
      <c r="L40" s="362">
        <v>0</v>
      </c>
      <c r="M40" s="362">
        <v>0</v>
      </c>
      <c r="N40" s="362">
        <v>0</v>
      </c>
      <c r="O40" s="362">
        <v>0</v>
      </c>
      <c r="P40" s="362">
        <v>0</v>
      </c>
      <c r="Q40" s="362">
        <v>0</v>
      </c>
      <c r="R40" s="362">
        <v>0</v>
      </c>
      <c r="S40" s="362">
        <v>0</v>
      </c>
      <c r="T40" s="362">
        <v>0</v>
      </c>
      <c r="U40" s="362">
        <v>0</v>
      </c>
      <c r="V40" s="362">
        <v>0</v>
      </c>
      <c r="W40" s="362">
        <v>0</v>
      </c>
      <c r="X40" s="362">
        <v>0</v>
      </c>
      <c r="Y40" s="362">
        <v>0</v>
      </c>
      <c r="Z40" s="362">
        <v>0</v>
      </c>
      <c r="AA40" s="362">
        <v>0</v>
      </c>
      <c r="AB40" s="358">
        <f t="shared" si="9"/>
        <v>0</v>
      </c>
      <c r="AC40" s="359">
        <f t="shared" si="10"/>
        <v>0</v>
      </c>
    </row>
    <row r="41" spans="1:29" x14ac:dyDescent="0.25">
      <c r="A41" s="360" t="s">
        <v>150</v>
      </c>
      <c r="B41" s="361" t="s">
        <v>136</v>
      </c>
      <c r="C41" s="358">
        <v>0</v>
      </c>
      <c r="D41" s="358">
        <v>0</v>
      </c>
      <c r="E41" s="421">
        <f t="shared" si="20"/>
        <v>0</v>
      </c>
      <c r="F41" s="428">
        <f t="shared" si="11"/>
        <v>0</v>
      </c>
      <c r="G41" s="362">
        <v>0</v>
      </c>
      <c r="H41" s="362">
        <v>0</v>
      </c>
      <c r="I41" s="362">
        <v>0</v>
      </c>
      <c r="J41" s="362">
        <v>0</v>
      </c>
      <c r="K41" s="362">
        <v>0</v>
      </c>
      <c r="L41" s="362">
        <v>0</v>
      </c>
      <c r="M41" s="362">
        <v>0</v>
      </c>
      <c r="N41" s="362">
        <v>0</v>
      </c>
      <c r="O41" s="362">
        <v>0</v>
      </c>
      <c r="P41" s="362">
        <v>0</v>
      </c>
      <c r="Q41" s="362">
        <v>0</v>
      </c>
      <c r="R41" s="362">
        <v>0</v>
      </c>
      <c r="S41" s="362">
        <v>0</v>
      </c>
      <c r="T41" s="362">
        <v>0</v>
      </c>
      <c r="U41" s="362">
        <v>0</v>
      </c>
      <c r="V41" s="362">
        <v>0</v>
      </c>
      <c r="W41" s="362">
        <v>0</v>
      </c>
      <c r="X41" s="362">
        <v>0</v>
      </c>
      <c r="Y41" s="362">
        <v>0</v>
      </c>
      <c r="Z41" s="362">
        <v>0</v>
      </c>
      <c r="AA41" s="362">
        <v>0</v>
      </c>
      <c r="AB41" s="358">
        <f t="shared" si="9"/>
        <v>0</v>
      </c>
      <c r="AC41" s="359">
        <f t="shared" si="10"/>
        <v>0</v>
      </c>
    </row>
    <row r="42" spans="1:29" ht="18.75" x14ac:dyDescent="0.25">
      <c r="A42" s="360" t="s">
        <v>149</v>
      </c>
      <c r="B42" s="365" t="s">
        <v>579</v>
      </c>
      <c r="C42" s="366">
        <v>0</v>
      </c>
      <c r="D42" s="366">
        <v>0</v>
      </c>
      <c r="E42" s="421">
        <f t="shared" si="20"/>
        <v>0</v>
      </c>
      <c r="F42" s="428">
        <f t="shared" si="11"/>
        <v>0</v>
      </c>
      <c r="G42" s="362">
        <v>0</v>
      </c>
      <c r="H42" s="362">
        <v>0</v>
      </c>
      <c r="I42" s="362">
        <v>0</v>
      </c>
      <c r="J42" s="362">
        <v>0</v>
      </c>
      <c r="K42" s="362">
        <v>0</v>
      </c>
      <c r="L42" s="362">
        <v>0</v>
      </c>
      <c r="M42" s="362">
        <v>0</v>
      </c>
      <c r="N42" s="362">
        <v>0</v>
      </c>
      <c r="O42" s="362">
        <v>0</v>
      </c>
      <c r="P42" s="362">
        <v>0</v>
      </c>
      <c r="Q42" s="362">
        <v>0</v>
      </c>
      <c r="R42" s="362">
        <v>0</v>
      </c>
      <c r="S42" s="362">
        <v>0</v>
      </c>
      <c r="T42" s="362">
        <v>0</v>
      </c>
      <c r="U42" s="362">
        <v>0</v>
      </c>
      <c r="V42" s="362">
        <v>0</v>
      </c>
      <c r="W42" s="362">
        <v>0</v>
      </c>
      <c r="X42" s="362">
        <v>0</v>
      </c>
      <c r="Y42" s="362">
        <v>0</v>
      </c>
      <c r="Z42" s="362">
        <v>0</v>
      </c>
      <c r="AA42" s="362">
        <v>0</v>
      </c>
      <c r="AB42" s="358">
        <f t="shared" si="9"/>
        <v>0</v>
      </c>
      <c r="AC42" s="359">
        <f t="shared" si="10"/>
        <v>0</v>
      </c>
    </row>
    <row r="43" spans="1:29" x14ac:dyDescent="0.25">
      <c r="A43" s="356" t="s">
        <v>58</v>
      </c>
      <c r="B43" s="357" t="s">
        <v>148</v>
      </c>
      <c r="C43" s="358">
        <v>0</v>
      </c>
      <c r="D43" s="358">
        <v>0</v>
      </c>
      <c r="E43" s="421">
        <f t="shared" si="20"/>
        <v>0</v>
      </c>
      <c r="F43" s="428">
        <f t="shared" si="11"/>
        <v>0</v>
      </c>
      <c r="G43" s="358">
        <v>0</v>
      </c>
      <c r="H43" s="358">
        <v>0</v>
      </c>
      <c r="I43" s="358">
        <v>0</v>
      </c>
      <c r="J43" s="358">
        <v>0</v>
      </c>
      <c r="K43" s="358">
        <v>0</v>
      </c>
      <c r="L43" s="358">
        <v>0</v>
      </c>
      <c r="M43" s="358">
        <v>0</v>
      </c>
      <c r="N43" s="358">
        <v>0</v>
      </c>
      <c r="O43" s="358">
        <v>0</v>
      </c>
      <c r="P43" s="358">
        <v>0</v>
      </c>
      <c r="Q43" s="358">
        <v>0</v>
      </c>
      <c r="R43" s="358">
        <v>0</v>
      </c>
      <c r="S43" s="358">
        <v>0</v>
      </c>
      <c r="T43" s="358">
        <v>0</v>
      </c>
      <c r="U43" s="358">
        <v>0</v>
      </c>
      <c r="V43" s="364">
        <v>0</v>
      </c>
      <c r="W43" s="358">
        <v>0</v>
      </c>
      <c r="X43" s="358">
        <v>0</v>
      </c>
      <c r="Y43" s="358">
        <v>0</v>
      </c>
      <c r="Z43" s="358">
        <v>0</v>
      </c>
      <c r="AA43" s="358">
        <v>0</v>
      </c>
      <c r="AB43" s="358">
        <f t="shared" si="9"/>
        <v>0</v>
      </c>
      <c r="AC43" s="359">
        <f t="shared" si="10"/>
        <v>0</v>
      </c>
    </row>
    <row r="44" spans="1:29" x14ac:dyDescent="0.25">
      <c r="A44" s="360" t="s">
        <v>147</v>
      </c>
      <c r="B44" s="361" t="s">
        <v>146</v>
      </c>
      <c r="C44" s="358">
        <f>C36</f>
        <v>0</v>
      </c>
      <c r="D44" s="358">
        <v>0</v>
      </c>
      <c r="E44" s="421">
        <f t="shared" si="20"/>
        <v>0</v>
      </c>
      <c r="F44" s="428">
        <f t="shared" si="11"/>
        <v>0</v>
      </c>
      <c r="G44" s="362">
        <v>0</v>
      </c>
      <c r="H44" s="362">
        <v>0</v>
      </c>
      <c r="I44" s="362">
        <v>0</v>
      </c>
      <c r="J44" s="362">
        <v>0</v>
      </c>
      <c r="K44" s="362">
        <v>0</v>
      </c>
      <c r="L44" s="362">
        <v>0</v>
      </c>
      <c r="M44" s="362">
        <v>0</v>
      </c>
      <c r="N44" s="362">
        <v>0</v>
      </c>
      <c r="O44" s="362">
        <v>0</v>
      </c>
      <c r="P44" s="362">
        <v>0</v>
      </c>
      <c r="Q44" s="362">
        <v>0</v>
      </c>
      <c r="R44" s="362">
        <v>0</v>
      </c>
      <c r="S44" s="362">
        <v>0</v>
      </c>
      <c r="T44" s="362">
        <v>0</v>
      </c>
      <c r="U44" s="362">
        <v>0</v>
      </c>
      <c r="V44" s="362">
        <v>0</v>
      </c>
      <c r="W44" s="362">
        <v>0</v>
      </c>
      <c r="X44" s="362">
        <v>0</v>
      </c>
      <c r="Y44" s="362">
        <v>0</v>
      </c>
      <c r="Z44" s="362">
        <v>0</v>
      </c>
      <c r="AA44" s="362">
        <v>0</v>
      </c>
      <c r="AB44" s="358">
        <f t="shared" si="9"/>
        <v>0</v>
      </c>
      <c r="AC44" s="359">
        <f t="shared" si="10"/>
        <v>0</v>
      </c>
    </row>
    <row r="45" spans="1:29" x14ac:dyDescent="0.25">
      <c r="A45" s="360" t="s">
        <v>145</v>
      </c>
      <c r="B45" s="361" t="s">
        <v>144</v>
      </c>
      <c r="C45" s="358">
        <f t="shared" ref="C45:C50" si="21">C37</f>
        <v>6.3E-2</v>
      </c>
      <c r="D45" s="358">
        <v>0</v>
      </c>
      <c r="E45" s="421">
        <f t="shared" si="20"/>
        <v>6.3E-2</v>
      </c>
      <c r="F45" s="428">
        <f t="shared" si="11"/>
        <v>6.3E-2</v>
      </c>
      <c r="G45" s="362">
        <v>0</v>
      </c>
      <c r="H45" s="362">
        <v>0</v>
      </c>
      <c r="I45" s="362">
        <v>0</v>
      </c>
      <c r="J45" s="362">
        <v>0</v>
      </c>
      <c r="K45" s="362">
        <v>0</v>
      </c>
      <c r="L45" s="362">
        <v>6.3E-2</v>
      </c>
      <c r="M45" s="362">
        <v>0</v>
      </c>
      <c r="N45" s="362">
        <v>0</v>
      </c>
      <c r="O45" s="362">
        <v>0</v>
      </c>
      <c r="P45" s="362">
        <v>0</v>
      </c>
      <c r="Q45" s="362">
        <v>0</v>
      </c>
      <c r="R45" s="362">
        <v>0</v>
      </c>
      <c r="S45" s="362">
        <v>0</v>
      </c>
      <c r="T45" s="362">
        <v>0</v>
      </c>
      <c r="U45" s="362">
        <v>0</v>
      </c>
      <c r="V45" s="363">
        <v>0</v>
      </c>
      <c r="W45" s="362">
        <v>0</v>
      </c>
      <c r="X45" s="362">
        <v>0</v>
      </c>
      <c r="Y45" s="362">
        <v>0</v>
      </c>
      <c r="Z45" s="362">
        <v>0</v>
      </c>
      <c r="AA45" s="362">
        <v>0</v>
      </c>
      <c r="AB45" s="358">
        <f t="shared" si="9"/>
        <v>6.3E-2</v>
      </c>
      <c r="AC45" s="359">
        <f t="shared" si="10"/>
        <v>0</v>
      </c>
    </row>
    <row r="46" spans="1:29" x14ac:dyDescent="0.25">
      <c r="A46" s="360" t="s">
        <v>143</v>
      </c>
      <c r="B46" s="361" t="s">
        <v>142</v>
      </c>
      <c r="C46" s="358">
        <f t="shared" si="21"/>
        <v>0</v>
      </c>
      <c r="D46" s="358">
        <v>0</v>
      </c>
      <c r="E46" s="421">
        <f t="shared" si="20"/>
        <v>0</v>
      </c>
      <c r="F46" s="428">
        <f t="shared" si="11"/>
        <v>0</v>
      </c>
      <c r="G46" s="362">
        <v>0</v>
      </c>
      <c r="H46" s="362">
        <v>0</v>
      </c>
      <c r="I46" s="362">
        <v>0</v>
      </c>
      <c r="J46" s="362">
        <v>0</v>
      </c>
      <c r="K46" s="362">
        <v>0</v>
      </c>
      <c r="L46" s="362">
        <v>0</v>
      </c>
      <c r="M46" s="362">
        <v>0</v>
      </c>
      <c r="N46" s="362">
        <v>0</v>
      </c>
      <c r="O46" s="362">
        <v>0</v>
      </c>
      <c r="P46" s="362">
        <v>0</v>
      </c>
      <c r="Q46" s="362">
        <v>0</v>
      </c>
      <c r="R46" s="362">
        <v>0</v>
      </c>
      <c r="S46" s="362">
        <v>0</v>
      </c>
      <c r="T46" s="362">
        <v>0</v>
      </c>
      <c r="U46" s="362">
        <v>0</v>
      </c>
      <c r="V46" s="362">
        <v>0</v>
      </c>
      <c r="W46" s="362">
        <v>0</v>
      </c>
      <c r="X46" s="362">
        <v>0</v>
      </c>
      <c r="Y46" s="362">
        <v>0</v>
      </c>
      <c r="Z46" s="362">
        <v>0</v>
      </c>
      <c r="AA46" s="362">
        <v>0</v>
      </c>
      <c r="AB46" s="358">
        <f t="shared" si="9"/>
        <v>0</v>
      </c>
      <c r="AC46" s="359">
        <f t="shared" si="10"/>
        <v>0</v>
      </c>
    </row>
    <row r="47" spans="1:29" ht="31.5" x14ac:dyDescent="0.25">
      <c r="A47" s="360" t="s">
        <v>141</v>
      </c>
      <c r="B47" s="361" t="s">
        <v>140</v>
      </c>
      <c r="C47" s="358">
        <f t="shared" si="21"/>
        <v>1.931</v>
      </c>
      <c r="D47" s="358">
        <v>0</v>
      </c>
      <c r="E47" s="421">
        <f t="shared" si="20"/>
        <v>1.931</v>
      </c>
      <c r="F47" s="428">
        <f t="shared" si="11"/>
        <v>1.931</v>
      </c>
      <c r="G47" s="362">
        <v>0</v>
      </c>
      <c r="H47" s="362">
        <v>0</v>
      </c>
      <c r="I47" s="362">
        <v>0</v>
      </c>
      <c r="J47" s="362">
        <v>0</v>
      </c>
      <c r="K47" s="362">
        <v>0</v>
      </c>
      <c r="L47" s="362">
        <v>1.931</v>
      </c>
      <c r="M47" s="362">
        <v>0</v>
      </c>
      <c r="N47" s="362">
        <v>0</v>
      </c>
      <c r="O47" s="362">
        <v>0</v>
      </c>
      <c r="P47" s="362">
        <v>0</v>
      </c>
      <c r="Q47" s="362">
        <v>0</v>
      </c>
      <c r="R47" s="362">
        <v>0</v>
      </c>
      <c r="S47" s="362">
        <v>0</v>
      </c>
      <c r="T47" s="362">
        <v>0</v>
      </c>
      <c r="U47" s="362">
        <v>0</v>
      </c>
      <c r="V47" s="362">
        <v>0</v>
      </c>
      <c r="W47" s="362">
        <v>0</v>
      </c>
      <c r="X47" s="362">
        <v>0</v>
      </c>
      <c r="Y47" s="362">
        <v>0</v>
      </c>
      <c r="Z47" s="362">
        <v>0</v>
      </c>
      <c r="AA47" s="362">
        <v>0</v>
      </c>
      <c r="AB47" s="358">
        <f t="shared" si="9"/>
        <v>1.931</v>
      </c>
      <c r="AC47" s="359">
        <f t="shared" si="10"/>
        <v>0</v>
      </c>
    </row>
    <row r="48" spans="1:29" ht="31.5" x14ac:dyDescent="0.25">
      <c r="A48" s="360" t="s">
        <v>139</v>
      </c>
      <c r="B48" s="361" t="s">
        <v>138</v>
      </c>
      <c r="C48" s="358">
        <f t="shared" si="21"/>
        <v>0</v>
      </c>
      <c r="D48" s="358">
        <v>0</v>
      </c>
      <c r="E48" s="421">
        <f t="shared" si="20"/>
        <v>0</v>
      </c>
      <c r="F48" s="428">
        <f t="shared" si="11"/>
        <v>0</v>
      </c>
      <c r="G48" s="362">
        <v>0</v>
      </c>
      <c r="H48" s="362">
        <v>0</v>
      </c>
      <c r="I48" s="362">
        <v>0</v>
      </c>
      <c r="J48" s="362">
        <v>0</v>
      </c>
      <c r="K48" s="362">
        <v>0</v>
      </c>
      <c r="L48" s="362">
        <v>0</v>
      </c>
      <c r="M48" s="362">
        <v>0</v>
      </c>
      <c r="N48" s="362">
        <v>0</v>
      </c>
      <c r="O48" s="362">
        <v>0</v>
      </c>
      <c r="P48" s="362">
        <v>0</v>
      </c>
      <c r="Q48" s="362">
        <v>0</v>
      </c>
      <c r="R48" s="362">
        <v>0</v>
      </c>
      <c r="S48" s="362">
        <v>0</v>
      </c>
      <c r="T48" s="362">
        <v>0</v>
      </c>
      <c r="U48" s="362">
        <v>0</v>
      </c>
      <c r="V48" s="362">
        <v>0</v>
      </c>
      <c r="W48" s="362">
        <v>0</v>
      </c>
      <c r="X48" s="362">
        <v>0</v>
      </c>
      <c r="Y48" s="362">
        <v>0</v>
      </c>
      <c r="Z48" s="362">
        <v>0</v>
      </c>
      <c r="AA48" s="362">
        <v>0</v>
      </c>
      <c r="AB48" s="358">
        <f t="shared" si="9"/>
        <v>0</v>
      </c>
      <c r="AC48" s="359">
        <f t="shared" si="10"/>
        <v>0</v>
      </c>
    </row>
    <row r="49" spans="1:29" x14ac:dyDescent="0.25">
      <c r="A49" s="360" t="s">
        <v>137</v>
      </c>
      <c r="B49" s="361" t="s">
        <v>136</v>
      </c>
      <c r="C49" s="358">
        <f t="shared" si="21"/>
        <v>0</v>
      </c>
      <c r="D49" s="358">
        <v>0</v>
      </c>
      <c r="E49" s="421">
        <f t="shared" si="20"/>
        <v>0</v>
      </c>
      <c r="F49" s="428">
        <f t="shared" si="11"/>
        <v>0</v>
      </c>
      <c r="G49" s="362">
        <v>0</v>
      </c>
      <c r="H49" s="362">
        <v>0</v>
      </c>
      <c r="I49" s="362">
        <v>0</v>
      </c>
      <c r="J49" s="362">
        <v>0</v>
      </c>
      <c r="K49" s="362">
        <v>0</v>
      </c>
      <c r="L49" s="362">
        <v>0</v>
      </c>
      <c r="M49" s="362">
        <v>0</v>
      </c>
      <c r="N49" s="362">
        <v>0</v>
      </c>
      <c r="O49" s="362">
        <v>0</v>
      </c>
      <c r="P49" s="362">
        <v>0</v>
      </c>
      <c r="Q49" s="362">
        <v>0</v>
      </c>
      <c r="R49" s="362">
        <v>0</v>
      </c>
      <c r="S49" s="362">
        <v>0</v>
      </c>
      <c r="T49" s="362">
        <v>0</v>
      </c>
      <c r="U49" s="362">
        <v>0</v>
      </c>
      <c r="V49" s="362">
        <v>0</v>
      </c>
      <c r="W49" s="362">
        <v>0</v>
      </c>
      <c r="X49" s="362">
        <v>0</v>
      </c>
      <c r="Y49" s="362">
        <v>0</v>
      </c>
      <c r="Z49" s="362">
        <v>0</v>
      </c>
      <c r="AA49" s="362">
        <v>0</v>
      </c>
      <c r="AB49" s="358">
        <f t="shared" si="9"/>
        <v>0</v>
      </c>
      <c r="AC49" s="359">
        <f t="shared" si="10"/>
        <v>0</v>
      </c>
    </row>
    <row r="50" spans="1:29" ht="18.75" x14ac:dyDescent="0.25">
      <c r="A50" s="360" t="s">
        <v>135</v>
      </c>
      <c r="B50" s="365" t="s">
        <v>579</v>
      </c>
      <c r="C50" s="358">
        <f t="shared" si="21"/>
        <v>0</v>
      </c>
      <c r="D50" s="358">
        <v>0</v>
      </c>
      <c r="E50" s="421">
        <f t="shared" si="20"/>
        <v>0</v>
      </c>
      <c r="F50" s="428">
        <f t="shared" si="11"/>
        <v>0</v>
      </c>
      <c r="G50" s="362">
        <v>0</v>
      </c>
      <c r="H50" s="362">
        <v>0</v>
      </c>
      <c r="I50" s="362">
        <v>0</v>
      </c>
      <c r="J50" s="362">
        <v>0</v>
      </c>
      <c r="K50" s="362">
        <v>0</v>
      </c>
      <c r="L50" s="362">
        <v>0</v>
      </c>
      <c r="M50" s="362">
        <v>0</v>
      </c>
      <c r="N50" s="362">
        <v>0</v>
      </c>
      <c r="O50" s="362">
        <v>0</v>
      </c>
      <c r="P50" s="362">
        <v>0</v>
      </c>
      <c r="Q50" s="362">
        <v>0</v>
      </c>
      <c r="R50" s="362">
        <v>0</v>
      </c>
      <c r="S50" s="362">
        <v>0</v>
      </c>
      <c r="T50" s="362">
        <v>0</v>
      </c>
      <c r="U50" s="362">
        <v>0</v>
      </c>
      <c r="V50" s="362">
        <v>0</v>
      </c>
      <c r="W50" s="362">
        <v>0</v>
      </c>
      <c r="X50" s="362">
        <v>0</v>
      </c>
      <c r="Y50" s="362">
        <v>0</v>
      </c>
      <c r="Z50" s="362">
        <v>0</v>
      </c>
      <c r="AA50" s="362">
        <v>0</v>
      </c>
      <c r="AB50" s="358">
        <f t="shared" si="9"/>
        <v>0</v>
      </c>
      <c r="AC50" s="359">
        <f t="shared" si="10"/>
        <v>0</v>
      </c>
    </row>
    <row r="51" spans="1:29" ht="35.25" customHeight="1" x14ac:dyDescent="0.25">
      <c r="A51" s="356" t="s">
        <v>56</v>
      </c>
      <c r="B51" s="357" t="s">
        <v>134</v>
      </c>
      <c r="C51" s="358">
        <v>0</v>
      </c>
      <c r="D51" s="358">
        <v>0</v>
      </c>
      <c r="E51" s="421">
        <f t="shared" si="20"/>
        <v>0</v>
      </c>
      <c r="F51" s="428">
        <f t="shared" si="11"/>
        <v>0</v>
      </c>
      <c r="G51" s="358">
        <v>0</v>
      </c>
      <c r="H51" s="358">
        <v>0</v>
      </c>
      <c r="I51" s="358">
        <v>0</v>
      </c>
      <c r="J51" s="358">
        <v>0</v>
      </c>
      <c r="K51" s="358">
        <v>0</v>
      </c>
      <c r="L51" s="358">
        <v>0</v>
      </c>
      <c r="M51" s="358">
        <v>0</v>
      </c>
      <c r="N51" s="358">
        <v>0</v>
      </c>
      <c r="O51" s="358">
        <v>0</v>
      </c>
      <c r="P51" s="358">
        <v>0</v>
      </c>
      <c r="Q51" s="358">
        <v>0</v>
      </c>
      <c r="R51" s="358">
        <v>0</v>
      </c>
      <c r="S51" s="358">
        <v>0</v>
      </c>
      <c r="T51" s="358">
        <v>0</v>
      </c>
      <c r="U51" s="358">
        <v>0</v>
      </c>
      <c r="V51" s="364">
        <v>0</v>
      </c>
      <c r="W51" s="358">
        <v>0</v>
      </c>
      <c r="X51" s="358">
        <v>0</v>
      </c>
      <c r="Y51" s="358">
        <v>0</v>
      </c>
      <c r="Z51" s="358">
        <v>0</v>
      </c>
      <c r="AA51" s="358">
        <v>0</v>
      </c>
      <c r="AB51" s="358">
        <f t="shared" si="9"/>
        <v>0</v>
      </c>
      <c r="AC51" s="359">
        <f t="shared" si="10"/>
        <v>0</v>
      </c>
    </row>
    <row r="52" spans="1:29" x14ac:dyDescent="0.25">
      <c r="A52" s="360" t="s">
        <v>133</v>
      </c>
      <c r="B52" s="361" t="s">
        <v>132</v>
      </c>
      <c r="C52" s="358">
        <f>C30</f>
        <v>7.7675329599999996</v>
      </c>
      <c r="D52" s="358">
        <v>0</v>
      </c>
      <c r="E52" s="421">
        <f t="shared" si="20"/>
        <v>7.7675329599999996</v>
      </c>
      <c r="F52" s="428">
        <f t="shared" si="11"/>
        <v>7.7675329599999996</v>
      </c>
      <c r="G52" s="362">
        <v>0</v>
      </c>
      <c r="H52" s="362">
        <v>0</v>
      </c>
      <c r="I52" s="362">
        <v>0</v>
      </c>
      <c r="J52" s="362">
        <v>0</v>
      </c>
      <c r="K52" s="362">
        <v>0</v>
      </c>
      <c r="L52" s="362">
        <v>7.7675329599999996</v>
      </c>
      <c r="M52" s="362">
        <v>0</v>
      </c>
      <c r="N52" s="362">
        <v>0</v>
      </c>
      <c r="O52" s="362">
        <v>0</v>
      </c>
      <c r="P52" s="362">
        <v>0</v>
      </c>
      <c r="Q52" s="362">
        <v>0</v>
      </c>
      <c r="R52" s="362">
        <v>0</v>
      </c>
      <c r="S52" s="362">
        <v>0</v>
      </c>
      <c r="T52" s="362">
        <v>0</v>
      </c>
      <c r="U52" s="362">
        <v>0</v>
      </c>
      <c r="V52" s="362">
        <v>0</v>
      </c>
      <c r="W52" s="362">
        <v>0</v>
      </c>
      <c r="X52" s="362">
        <v>0</v>
      </c>
      <c r="Y52" s="362">
        <v>0</v>
      </c>
      <c r="Z52" s="362">
        <v>0</v>
      </c>
      <c r="AA52" s="362">
        <v>0</v>
      </c>
      <c r="AB52" s="358">
        <f t="shared" si="9"/>
        <v>7.7675329599999996</v>
      </c>
      <c r="AC52" s="359">
        <f t="shared" si="10"/>
        <v>0</v>
      </c>
    </row>
    <row r="53" spans="1:29" x14ac:dyDescent="0.25">
      <c r="A53" s="360" t="s">
        <v>131</v>
      </c>
      <c r="B53" s="361" t="s">
        <v>125</v>
      </c>
      <c r="C53" s="358">
        <v>0</v>
      </c>
      <c r="D53" s="358">
        <v>0</v>
      </c>
      <c r="E53" s="421">
        <f t="shared" si="20"/>
        <v>0</v>
      </c>
      <c r="F53" s="428">
        <f t="shared" si="11"/>
        <v>0</v>
      </c>
      <c r="G53" s="362">
        <v>0</v>
      </c>
      <c r="H53" s="362">
        <v>0</v>
      </c>
      <c r="I53" s="362">
        <v>0</v>
      </c>
      <c r="J53" s="362">
        <v>0</v>
      </c>
      <c r="K53" s="362">
        <v>0</v>
      </c>
      <c r="L53" s="362">
        <v>0</v>
      </c>
      <c r="M53" s="362">
        <v>0</v>
      </c>
      <c r="N53" s="362">
        <v>0</v>
      </c>
      <c r="O53" s="362">
        <v>0</v>
      </c>
      <c r="P53" s="362">
        <v>0</v>
      </c>
      <c r="Q53" s="362">
        <v>0</v>
      </c>
      <c r="R53" s="362">
        <v>0</v>
      </c>
      <c r="S53" s="362">
        <v>0</v>
      </c>
      <c r="T53" s="362">
        <v>0</v>
      </c>
      <c r="U53" s="362">
        <v>0</v>
      </c>
      <c r="V53" s="363">
        <v>0</v>
      </c>
      <c r="W53" s="362">
        <v>0</v>
      </c>
      <c r="X53" s="362">
        <v>0</v>
      </c>
      <c r="Y53" s="362">
        <v>0</v>
      </c>
      <c r="Z53" s="362">
        <v>0</v>
      </c>
      <c r="AA53" s="362">
        <v>0</v>
      </c>
      <c r="AB53" s="358">
        <f t="shared" si="9"/>
        <v>0</v>
      </c>
      <c r="AC53" s="359">
        <f t="shared" si="10"/>
        <v>0</v>
      </c>
    </row>
    <row r="54" spans="1:29" x14ac:dyDescent="0.25">
      <c r="A54" s="360" t="s">
        <v>130</v>
      </c>
      <c r="B54" s="365" t="s">
        <v>124</v>
      </c>
      <c r="C54" s="366">
        <f>C45</f>
        <v>6.3E-2</v>
      </c>
      <c r="D54" s="366">
        <v>0</v>
      </c>
      <c r="E54" s="421">
        <f t="shared" si="20"/>
        <v>6.3E-2</v>
      </c>
      <c r="F54" s="428">
        <f t="shared" si="11"/>
        <v>6.3E-2</v>
      </c>
      <c r="G54" s="362">
        <v>0</v>
      </c>
      <c r="H54" s="362">
        <v>0</v>
      </c>
      <c r="I54" s="362">
        <v>0</v>
      </c>
      <c r="J54" s="362">
        <v>0</v>
      </c>
      <c r="K54" s="362">
        <v>0</v>
      </c>
      <c r="L54" s="362">
        <v>6.3E-2</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58">
        <f t="shared" si="9"/>
        <v>6.3E-2</v>
      </c>
      <c r="AC54" s="359">
        <f t="shared" si="10"/>
        <v>0</v>
      </c>
    </row>
    <row r="55" spans="1:29" x14ac:dyDescent="0.25">
      <c r="A55" s="360" t="s">
        <v>129</v>
      </c>
      <c r="B55" s="365" t="s">
        <v>123</v>
      </c>
      <c r="C55" s="366">
        <v>0</v>
      </c>
      <c r="D55" s="366">
        <v>0</v>
      </c>
      <c r="E55" s="421">
        <f t="shared" si="20"/>
        <v>0</v>
      </c>
      <c r="F55" s="428">
        <f t="shared" si="11"/>
        <v>0</v>
      </c>
      <c r="G55" s="362">
        <v>0</v>
      </c>
      <c r="H55" s="362">
        <v>0</v>
      </c>
      <c r="I55" s="362">
        <v>0</v>
      </c>
      <c r="J55" s="362">
        <v>0</v>
      </c>
      <c r="K55" s="362">
        <v>0</v>
      </c>
      <c r="L55" s="362">
        <v>0</v>
      </c>
      <c r="M55" s="362">
        <v>0</v>
      </c>
      <c r="N55" s="362">
        <v>0</v>
      </c>
      <c r="O55" s="362">
        <v>0</v>
      </c>
      <c r="P55" s="362">
        <v>0</v>
      </c>
      <c r="Q55" s="362">
        <v>0</v>
      </c>
      <c r="R55" s="362">
        <v>0</v>
      </c>
      <c r="S55" s="362">
        <v>0</v>
      </c>
      <c r="T55" s="362">
        <v>0</v>
      </c>
      <c r="U55" s="362">
        <v>0</v>
      </c>
      <c r="V55" s="362">
        <v>0</v>
      </c>
      <c r="W55" s="362">
        <v>0</v>
      </c>
      <c r="X55" s="362">
        <v>0</v>
      </c>
      <c r="Y55" s="362">
        <v>0</v>
      </c>
      <c r="Z55" s="362">
        <v>0</v>
      </c>
      <c r="AA55" s="362">
        <v>0</v>
      </c>
      <c r="AB55" s="358">
        <f t="shared" si="9"/>
        <v>0</v>
      </c>
      <c r="AC55" s="359">
        <f t="shared" si="10"/>
        <v>0</v>
      </c>
    </row>
    <row r="56" spans="1:29" x14ac:dyDescent="0.25">
      <c r="A56" s="360" t="s">
        <v>128</v>
      </c>
      <c r="B56" s="365" t="s">
        <v>122</v>
      </c>
      <c r="C56" s="366">
        <f>C47+C48+C49</f>
        <v>1.931</v>
      </c>
      <c r="D56" s="366">
        <v>0</v>
      </c>
      <c r="E56" s="421">
        <f t="shared" si="20"/>
        <v>1.931</v>
      </c>
      <c r="F56" s="428">
        <f t="shared" si="11"/>
        <v>1.931</v>
      </c>
      <c r="G56" s="362">
        <v>0</v>
      </c>
      <c r="H56" s="362">
        <v>0</v>
      </c>
      <c r="I56" s="362">
        <v>0</v>
      </c>
      <c r="J56" s="362">
        <v>0</v>
      </c>
      <c r="K56" s="362">
        <v>0</v>
      </c>
      <c r="L56" s="362">
        <v>1.931</v>
      </c>
      <c r="M56" s="362">
        <v>0</v>
      </c>
      <c r="N56" s="362">
        <v>0</v>
      </c>
      <c r="O56" s="362">
        <v>0</v>
      </c>
      <c r="P56" s="362">
        <v>0</v>
      </c>
      <c r="Q56" s="362">
        <v>0</v>
      </c>
      <c r="R56" s="362">
        <v>0</v>
      </c>
      <c r="S56" s="362">
        <v>0</v>
      </c>
      <c r="T56" s="362">
        <v>0</v>
      </c>
      <c r="U56" s="362">
        <v>0</v>
      </c>
      <c r="V56" s="362">
        <v>0</v>
      </c>
      <c r="W56" s="362">
        <v>0</v>
      </c>
      <c r="X56" s="362">
        <v>0</v>
      </c>
      <c r="Y56" s="362">
        <v>0</v>
      </c>
      <c r="Z56" s="362">
        <v>0</v>
      </c>
      <c r="AA56" s="362">
        <v>0</v>
      </c>
      <c r="AB56" s="358">
        <f t="shared" si="9"/>
        <v>1.931</v>
      </c>
      <c r="AC56" s="359">
        <f t="shared" si="10"/>
        <v>0</v>
      </c>
    </row>
    <row r="57" spans="1:29" ht="18.75" x14ac:dyDescent="0.25">
      <c r="A57" s="360" t="s">
        <v>127</v>
      </c>
      <c r="B57" s="365" t="s">
        <v>579</v>
      </c>
      <c r="C57" s="366">
        <f>C50</f>
        <v>0</v>
      </c>
      <c r="D57" s="366">
        <v>0</v>
      </c>
      <c r="E57" s="421">
        <f t="shared" si="20"/>
        <v>0</v>
      </c>
      <c r="F57" s="428">
        <f t="shared" si="11"/>
        <v>0</v>
      </c>
      <c r="G57" s="362">
        <v>0</v>
      </c>
      <c r="H57" s="362">
        <v>0</v>
      </c>
      <c r="I57" s="362">
        <v>0</v>
      </c>
      <c r="J57" s="362">
        <v>0</v>
      </c>
      <c r="K57" s="362">
        <v>0</v>
      </c>
      <c r="L57" s="362">
        <v>0</v>
      </c>
      <c r="M57" s="362">
        <v>0</v>
      </c>
      <c r="N57" s="362">
        <v>0</v>
      </c>
      <c r="O57" s="362">
        <v>0</v>
      </c>
      <c r="P57" s="362">
        <v>0</v>
      </c>
      <c r="Q57" s="362">
        <v>0</v>
      </c>
      <c r="R57" s="362">
        <v>0</v>
      </c>
      <c r="S57" s="362">
        <v>0</v>
      </c>
      <c r="T57" s="362">
        <v>0</v>
      </c>
      <c r="U57" s="362">
        <v>0</v>
      </c>
      <c r="V57" s="362">
        <v>0</v>
      </c>
      <c r="W57" s="362">
        <v>0</v>
      </c>
      <c r="X57" s="362">
        <v>0</v>
      </c>
      <c r="Y57" s="362">
        <v>0</v>
      </c>
      <c r="Z57" s="362">
        <v>0</v>
      </c>
      <c r="AA57" s="362">
        <v>0</v>
      </c>
      <c r="AB57" s="358">
        <f t="shared" si="9"/>
        <v>0</v>
      </c>
      <c r="AC57" s="359">
        <f t="shared" si="10"/>
        <v>0</v>
      </c>
    </row>
    <row r="58" spans="1:29" ht="36.75" customHeight="1" x14ac:dyDescent="0.25">
      <c r="A58" s="356" t="s">
        <v>55</v>
      </c>
      <c r="B58" s="367" t="s">
        <v>224</v>
      </c>
      <c r="C58" s="366">
        <v>0</v>
      </c>
      <c r="D58" s="366">
        <v>0</v>
      </c>
      <c r="E58" s="421">
        <f t="shared" si="20"/>
        <v>0</v>
      </c>
      <c r="F58" s="428">
        <f t="shared" si="11"/>
        <v>0</v>
      </c>
      <c r="G58" s="358">
        <v>0</v>
      </c>
      <c r="H58" s="358">
        <v>0</v>
      </c>
      <c r="I58" s="358">
        <v>0</v>
      </c>
      <c r="J58" s="358">
        <v>0</v>
      </c>
      <c r="K58" s="358">
        <v>0</v>
      </c>
      <c r="L58" s="358">
        <v>0</v>
      </c>
      <c r="M58" s="358">
        <v>0</v>
      </c>
      <c r="N58" s="358">
        <v>0</v>
      </c>
      <c r="O58" s="358">
        <v>0</v>
      </c>
      <c r="P58" s="358">
        <v>0</v>
      </c>
      <c r="Q58" s="358">
        <v>0</v>
      </c>
      <c r="R58" s="358">
        <v>0</v>
      </c>
      <c r="S58" s="358">
        <v>0</v>
      </c>
      <c r="T58" s="358">
        <v>0</v>
      </c>
      <c r="U58" s="358">
        <v>0</v>
      </c>
      <c r="V58" s="364">
        <v>0</v>
      </c>
      <c r="W58" s="358">
        <v>0</v>
      </c>
      <c r="X58" s="358">
        <v>0</v>
      </c>
      <c r="Y58" s="358">
        <v>0</v>
      </c>
      <c r="Z58" s="358">
        <v>0</v>
      </c>
      <c r="AA58" s="358">
        <v>0</v>
      </c>
      <c r="AB58" s="358">
        <f t="shared" si="9"/>
        <v>0</v>
      </c>
      <c r="AC58" s="359">
        <f t="shared" si="10"/>
        <v>0</v>
      </c>
    </row>
    <row r="59" spans="1:29" x14ac:dyDescent="0.25">
      <c r="A59" s="356" t="s">
        <v>53</v>
      </c>
      <c r="B59" s="357" t="s">
        <v>126</v>
      </c>
      <c r="C59" s="358">
        <v>0</v>
      </c>
      <c r="D59" s="358">
        <v>0</v>
      </c>
      <c r="E59" s="421">
        <f t="shared" si="20"/>
        <v>0</v>
      </c>
      <c r="F59" s="428">
        <f t="shared" si="11"/>
        <v>0</v>
      </c>
      <c r="G59" s="358">
        <v>0</v>
      </c>
      <c r="H59" s="358">
        <v>0</v>
      </c>
      <c r="I59" s="358">
        <v>0</v>
      </c>
      <c r="J59" s="358">
        <v>0</v>
      </c>
      <c r="K59" s="358">
        <v>0</v>
      </c>
      <c r="L59" s="358">
        <v>0</v>
      </c>
      <c r="M59" s="358">
        <v>0</v>
      </c>
      <c r="N59" s="358">
        <v>0</v>
      </c>
      <c r="O59" s="358">
        <v>0</v>
      </c>
      <c r="P59" s="358">
        <v>0</v>
      </c>
      <c r="Q59" s="358">
        <v>0</v>
      </c>
      <c r="R59" s="358">
        <v>0</v>
      </c>
      <c r="S59" s="358">
        <v>0</v>
      </c>
      <c r="T59" s="358">
        <v>0</v>
      </c>
      <c r="U59" s="358">
        <v>0</v>
      </c>
      <c r="V59" s="364">
        <v>0</v>
      </c>
      <c r="W59" s="358">
        <v>0</v>
      </c>
      <c r="X59" s="358">
        <v>0</v>
      </c>
      <c r="Y59" s="358">
        <v>0</v>
      </c>
      <c r="Z59" s="358">
        <v>0</v>
      </c>
      <c r="AA59" s="358">
        <v>0</v>
      </c>
      <c r="AB59" s="358">
        <f t="shared" si="9"/>
        <v>0</v>
      </c>
      <c r="AC59" s="359">
        <f t="shared" si="10"/>
        <v>0</v>
      </c>
    </row>
    <row r="60" spans="1:29" x14ac:dyDescent="0.25">
      <c r="A60" s="360" t="s">
        <v>218</v>
      </c>
      <c r="B60" s="55" t="s">
        <v>146</v>
      </c>
      <c r="C60" s="245">
        <v>0</v>
      </c>
      <c r="D60" s="245">
        <v>0</v>
      </c>
      <c r="E60" s="421">
        <f t="shared" si="20"/>
        <v>0</v>
      </c>
      <c r="F60" s="428">
        <f t="shared" si="11"/>
        <v>0</v>
      </c>
      <c r="G60" s="362">
        <v>0</v>
      </c>
      <c r="H60" s="362">
        <v>0</v>
      </c>
      <c r="I60" s="362">
        <v>0</v>
      </c>
      <c r="J60" s="362">
        <v>0</v>
      </c>
      <c r="K60" s="362">
        <v>0</v>
      </c>
      <c r="L60" s="362">
        <v>0</v>
      </c>
      <c r="M60" s="362">
        <v>0</v>
      </c>
      <c r="N60" s="362">
        <v>0</v>
      </c>
      <c r="O60" s="362">
        <v>0</v>
      </c>
      <c r="P60" s="362">
        <v>0</v>
      </c>
      <c r="Q60" s="362">
        <v>0</v>
      </c>
      <c r="R60" s="362">
        <v>0</v>
      </c>
      <c r="S60" s="362">
        <v>0</v>
      </c>
      <c r="T60" s="362">
        <v>0</v>
      </c>
      <c r="U60" s="362">
        <v>0</v>
      </c>
      <c r="V60" s="362">
        <v>0</v>
      </c>
      <c r="W60" s="362">
        <v>0</v>
      </c>
      <c r="X60" s="362">
        <v>0</v>
      </c>
      <c r="Y60" s="362">
        <v>0</v>
      </c>
      <c r="Z60" s="362">
        <v>0</v>
      </c>
      <c r="AA60" s="362">
        <v>0</v>
      </c>
      <c r="AB60" s="358">
        <f t="shared" si="9"/>
        <v>0</v>
      </c>
      <c r="AC60" s="359">
        <f t="shared" si="10"/>
        <v>0</v>
      </c>
    </row>
    <row r="61" spans="1:29" x14ac:dyDescent="0.25">
      <c r="A61" s="360" t="s">
        <v>219</v>
      </c>
      <c r="B61" s="55" t="s">
        <v>144</v>
      </c>
      <c r="C61" s="245">
        <v>0</v>
      </c>
      <c r="D61" s="245">
        <v>0</v>
      </c>
      <c r="E61" s="421">
        <f t="shared" si="20"/>
        <v>0</v>
      </c>
      <c r="F61" s="428">
        <f t="shared" si="11"/>
        <v>0</v>
      </c>
      <c r="G61" s="362">
        <v>0</v>
      </c>
      <c r="H61" s="362">
        <v>0</v>
      </c>
      <c r="I61" s="362">
        <v>0</v>
      </c>
      <c r="J61" s="362">
        <v>0</v>
      </c>
      <c r="K61" s="362">
        <v>0</v>
      </c>
      <c r="L61" s="362">
        <v>0</v>
      </c>
      <c r="M61" s="362">
        <v>0</v>
      </c>
      <c r="N61" s="362">
        <v>0</v>
      </c>
      <c r="O61" s="362">
        <v>0</v>
      </c>
      <c r="P61" s="362">
        <v>0</v>
      </c>
      <c r="Q61" s="362">
        <v>0</v>
      </c>
      <c r="R61" s="362">
        <v>0</v>
      </c>
      <c r="S61" s="362">
        <v>0</v>
      </c>
      <c r="T61" s="362">
        <v>0</v>
      </c>
      <c r="U61" s="362">
        <v>0</v>
      </c>
      <c r="V61" s="362">
        <v>0</v>
      </c>
      <c r="W61" s="362">
        <v>0</v>
      </c>
      <c r="X61" s="362">
        <v>0</v>
      </c>
      <c r="Y61" s="362">
        <v>0</v>
      </c>
      <c r="Z61" s="362">
        <v>0</v>
      </c>
      <c r="AA61" s="362">
        <v>0</v>
      </c>
      <c r="AB61" s="358">
        <f t="shared" si="9"/>
        <v>0</v>
      </c>
      <c r="AC61" s="359">
        <f t="shared" si="10"/>
        <v>0</v>
      </c>
    </row>
    <row r="62" spans="1:29" x14ac:dyDescent="0.25">
      <c r="A62" s="360" t="s">
        <v>220</v>
      </c>
      <c r="B62" s="55" t="s">
        <v>142</v>
      </c>
      <c r="C62" s="245">
        <v>0</v>
      </c>
      <c r="D62" s="245">
        <v>0</v>
      </c>
      <c r="E62" s="421">
        <f t="shared" si="20"/>
        <v>0</v>
      </c>
      <c r="F62" s="428">
        <f t="shared" si="11"/>
        <v>0</v>
      </c>
      <c r="G62" s="362">
        <v>0</v>
      </c>
      <c r="H62" s="362">
        <v>0</v>
      </c>
      <c r="I62" s="362">
        <v>0</v>
      </c>
      <c r="J62" s="362">
        <v>0</v>
      </c>
      <c r="K62" s="362">
        <v>0</v>
      </c>
      <c r="L62" s="362">
        <v>0</v>
      </c>
      <c r="M62" s="362">
        <v>0</v>
      </c>
      <c r="N62" s="362">
        <v>0</v>
      </c>
      <c r="O62" s="362">
        <v>0</v>
      </c>
      <c r="P62" s="362">
        <v>0</v>
      </c>
      <c r="Q62" s="362">
        <v>0</v>
      </c>
      <c r="R62" s="362">
        <v>0</v>
      </c>
      <c r="S62" s="362">
        <v>0</v>
      </c>
      <c r="T62" s="362">
        <v>0</v>
      </c>
      <c r="U62" s="362">
        <v>0</v>
      </c>
      <c r="V62" s="362">
        <v>0</v>
      </c>
      <c r="W62" s="362">
        <v>0</v>
      </c>
      <c r="X62" s="362">
        <v>0</v>
      </c>
      <c r="Y62" s="362">
        <v>0</v>
      </c>
      <c r="Z62" s="362">
        <v>0</v>
      </c>
      <c r="AA62" s="362">
        <v>0</v>
      </c>
      <c r="AB62" s="358">
        <f t="shared" si="9"/>
        <v>0</v>
      </c>
      <c r="AC62" s="359">
        <f t="shared" si="10"/>
        <v>0</v>
      </c>
    </row>
    <row r="63" spans="1:29" x14ac:dyDescent="0.25">
      <c r="A63" s="360" t="s">
        <v>221</v>
      </c>
      <c r="B63" s="55" t="s">
        <v>223</v>
      </c>
      <c r="C63" s="245">
        <v>1.62</v>
      </c>
      <c r="D63" s="245">
        <v>0</v>
      </c>
      <c r="E63" s="421">
        <f t="shared" si="20"/>
        <v>1.62</v>
      </c>
      <c r="F63" s="428">
        <f t="shared" si="11"/>
        <v>1.62</v>
      </c>
      <c r="G63" s="362">
        <v>0</v>
      </c>
      <c r="H63" s="362">
        <v>0</v>
      </c>
      <c r="I63" s="362">
        <v>0</v>
      </c>
      <c r="J63" s="362">
        <v>0</v>
      </c>
      <c r="K63" s="362">
        <v>0</v>
      </c>
      <c r="L63" s="362">
        <v>1.62</v>
      </c>
      <c r="M63" s="362">
        <v>0</v>
      </c>
      <c r="N63" s="362">
        <v>0</v>
      </c>
      <c r="O63" s="362">
        <v>0</v>
      </c>
      <c r="P63" s="362">
        <v>0</v>
      </c>
      <c r="Q63" s="362">
        <v>0</v>
      </c>
      <c r="R63" s="362">
        <v>0</v>
      </c>
      <c r="S63" s="362">
        <v>0</v>
      </c>
      <c r="T63" s="362">
        <v>0</v>
      </c>
      <c r="U63" s="362">
        <v>0</v>
      </c>
      <c r="V63" s="362">
        <v>0</v>
      </c>
      <c r="W63" s="362">
        <v>0</v>
      </c>
      <c r="X63" s="362">
        <v>0</v>
      </c>
      <c r="Y63" s="362">
        <v>0</v>
      </c>
      <c r="Z63" s="362">
        <v>0</v>
      </c>
      <c r="AA63" s="362">
        <v>0</v>
      </c>
      <c r="AB63" s="358">
        <f t="shared" si="9"/>
        <v>1.62</v>
      </c>
      <c r="AC63" s="359">
        <f t="shared" si="10"/>
        <v>0</v>
      </c>
    </row>
    <row r="64" spans="1:29" ht="18.75" x14ac:dyDescent="0.25">
      <c r="A64" s="360" t="s">
        <v>222</v>
      </c>
      <c r="B64" s="365" t="s">
        <v>121</v>
      </c>
      <c r="C64" s="366">
        <v>0</v>
      </c>
      <c r="D64" s="366">
        <v>0</v>
      </c>
      <c r="E64" s="421">
        <f t="shared" si="20"/>
        <v>0</v>
      </c>
      <c r="F64" s="428">
        <f t="shared" si="11"/>
        <v>0</v>
      </c>
      <c r="G64" s="362">
        <v>0</v>
      </c>
      <c r="H64" s="362">
        <v>0</v>
      </c>
      <c r="I64" s="362">
        <v>0</v>
      </c>
      <c r="J64" s="362">
        <v>0</v>
      </c>
      <c r="K64" s="362">
        <v>0</v>
      </c>
      <c r="L64" s="362">
        <v>0</v>
      </c>
      <c r="M64" s="362">
        <v>0</v>
      </c>
      <c r="N64" s="362">
        <v>0</v>
      </c>
      <c r="O64" s="362">
        <v>0</v>
      </c>
      <c r="P64" s="362">
        <v>0</v>
      </c>
      <c r="Q64" s="362">
        <v>0</v>
      </c>
      <c r="R64" s="362">
        <v>0</v>
      </c>
      <c r="S64" s="362">
        <v>0</v>
      </c>
      <c r="T64" s="362">
        <v>0</v>
      </c>
      <c r="U64" s="362">
        <v>0</v>
      </c>
      <c r="V64" s="362">
        <v>0</v>
      </c>
      <c r="W64" s="362">
        <v>0</v>
      </c>
      <c r="X64" s="362">
        <v>0</v>
      </c>
      <c r="Y64" s="362">
        <v>0</v>
      </c>
      <c r="Z64" s="362">
        <v>0</v>
      </c>
      <c r="AA64" s="362">
        <v>0</v>
      </c>
      <c r="AB64" s="358">
        <f t="shared" si="9"/>
        <v>0</v>
      </c>
      <c r="AC64" s="359">
        <f t="shared" si="10"/>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52"/>
      <c r="C66" s="552"/>
      <c r="D66" s="552"/>
      <c r="E66" s="552"/>
      <c r="F66" s="552"/>
      <c r="G66" s="552"/>
      <c r="H66" s="552"/>
      <c r="I66" s="552"/>
      <c r="J66" s="309"/>
      <c r="K66" s="309"/>
      <c r="L66" s="309"/>
      <c r="M66" s="309"/>
      <c r="N66" s="309"/>
      <c r="O66" s="309"/>
      <c r="P66" s="309"/>
      <c r="Q66" s="309"/>
      <c r="R66" s="309"/>
      <c r="S66" s="309"/>
      <c r="T66" s="309"/>
      <c r="U66" s="309"/>
      <c r="V66" s="309"/>
      <c r="W66" s="309"/>
      <c r="X66" s="309"/>
      <c r="Y66" s="309"/>
      <c r="Z66" s="309"/>
      <c r="AA66" s="309"/>
      <c r="AB66" s="52"/>
    </row>
    <row r="67" spans="1:28" x14ac:dyDescent="0.25">
      <c r="A67" s="49"/>
      <c r="B67" s="49"/>
      <c r="C67" s="49"/>
      <c r="D67" s="49"/>
      <c r="E67" s="49"/>
      <c r="F67" s="49"/>
      <c r="AB67" s="49"/>
    </row>
    <row r="68" spans="1:28" ht="50.25" customHeight="1" x14ac:dyDescent="0.25">
      <c r="A68" s="49"/>
      <c r="B68" s="553"/>
      <c r="C68" s="553"/>
      <c r="D68" s="553"/>
      <c r="E68" s="553"/>
      <c r="F68" s="553"/>
      <c r="G68" s="553"/>
      <c r="H68" s="553"/>
      <c r="I68" s="553"/>
      <c r="J68" s="310"/>
      <c r="K68" s="310"/>
      <c r="L68" s="310"/>
      <c r="M68" s="310"/>
      <c r="N68" s="310"/>
      <c r="O68" s="310"/>
      <c r="P68" s="310"/>
      <c r="Q68" s="310"/>
      <c r="R68" s="310"/>
      <c r="S68" s="310"/>
      <c r="T68" s="310"/>
      <c r="U68" s="310"/>
      <c r="V68" s="310"/>
      <c r="W68" s="310"/>
      <c r="X68" s="310"/>
      <c r="Y68" s="310"/>
      <c r="Z68" s="310"/>
      <c r="AA68" s="310"/>
      <c r="AB68" s="49"/>
    </row>
    <row r="69" spans="1:28" x14ac:dyDescent="0.25">
      <c r="A69" s="49"/>
      <c r="B69" s="49"/>
      <c r="C69" s="49"/>
      <c r="D69" s="49"/>
      <c r="E69" s="49"/>
      <c r="F69" s="49"/>
      <c r="AB69" s="49"/>
    </row>
    <row r="70" spans="1:28" ht="36.75" customHeight="1" x14ac:dyDescent="0.25">
      <c r="A70" s="49"/>
      <c r="B70" s="552"/>
      <c r="C70" s="552"/>
      <c r="D70" s="552"/>
      <c r="E70" s="552"/>
      <c r="F70" s="552"/>
      <c r="G70" s="552"/>
      <c r="H70" s="552"/>
      <c r="I70" s="552"/>
      <c r="J70" s="309"/>
      <c r="K70" s="309"/>
      <c r="L70" s="309"/>
      <c r="M70" s="309"/>
      <c r="N70" s="309"/>
      <c r="O70" s="309"/>
      <c r="P70" s="309"/>
      <c r="Q70" s="309"/>
      <c r="R70" s="309"/>
      <c r="S70" s="309"/>
      <c r="T70" s="309"/>
      <c r="U70" s="309"/>
      <c r="V70" s="309"/>
      <c r="W70" s="309"/>
      <c r="X70" s="309"/>
      <c r="Y70" s="309"/>
      <c r="Z70" s="309"/>
      <c r="AA70" s="309"/>
      <c r="AB70" s="49"/>
    </row>
    <row r="71" spans="1:28" x14ac:dyDescent="0.25">
      <c r="A71" s="49"/>
      <c r="B71" s="51"/>
      <c r="C71" s="51"/>
      <c r="D71" s="51"/>
      <c r="E71" s="51"/>
      <c r="F71" s="51"/>
      <c r="AB71" s="49"/>
    </row>
    <row r="72" spans="1:28" ht="51" customHeight="1" x14ac:dyDescent="0.25">
      <c r="A72" s="49"/>
      <c r="B72" s="552"/>
      <c r="C72" s="552"/>
      <c r="D72" s="552"/>
      <c r="E72" s="552"/>
      <c r="F72" s="552"/>
      <c r="G72" s="552"/>
      <c r="H72" s="552"/>
      <c r="I72" s="552"/>
      <c r="J72" s="309"/>
      <c r="K72" s="309"/>
      <c r="L72" s="309"/>
      <c r="M72" s="309"/>
      <c r="N72" s="309"/>
      <c r="O72" s="309"/>
      <c r="P72" s="309"/>
      <c r="Q72" s="309"/>
      <c r="R72" s="309"/>
      <c r="S72" s="309"/>
      <c r="T72" s="309"/>
      <c r="U72" s="309"/>
      <c r="V72" s="309"/>
      <c r="W72" s="309"/>
      <c r="X72" s="309"/>
      <c r="Y72" s="309"/>
      <c r="Z72" s="309"/>
      <c r="AA72" s="309"/>
      <c r="AB72" s="49"/>
    </row>
    <row r="73" spans="1:28" ht="32.25" customHeight="1" x14ac:dyDescent="0.25">
      <c r="A73" s="49"/>
      <c r="B73" s="553"/>
      <c r="C73" s="553"/>
      <c r="D73" s="553"/>
      <c r="E73" s="553"/>
      <c r="F73" s="553"/>
      <c r="G73" s="553"/>
      <c r="H73" s="553"/>
      <c r="I73" s="553"/>
      <c r="J73" s="310"/>
      <c r="K73" s="310"/>
      <c r="L73" s="310"/>
      <c r="M73" s="310"/>
      <c r="N73" s="310"/>
      <c r="O73" s="310"/>
      <c r="P73" s="310"/>
      <c r="Q73" s="310"/>
      <c r="R73" s="310"/>
      <c r="S73" s="310"/>
      <c r="T73" s="310"/>
      <c r="U73" s="310"/>
      <c r="V73" s="310"/>
      <c r="W73" s="310"/>
      <c r="X73" s="310"/>
      <c r="Y73" s="310"/>
      <c r="Z73" s="310"/>
      <c r="AA73" s="310"/>
      <c r="AB73" s="49"/>
    </row>
    <row r="74" spans="1:28" ht="51.75" customHeight="1" x14ac:dyDescent="0.25">
      <c r="A74" s="49"/>
      <c r="B74" s="552"/>
      <c r="C74" s="552"/>
      <c r="D74" s="552"/>
      <c r="E74" s="552"/>
      <c r="F74" s="552"/>
      <c r="G74" s="552"/>
      <c r="H74" s="552"/>
      <c r="I74" s="552"/>
      <c r="J74" s="309"/>
      <c r="K74" s="309"/>
      <c r="L74" s="309"/>
      <c r="M74" s="309"/>
      <c r="N74" s="309"/>
      <c r="O74" s="309"/>
      <c r="P74" s="309"/>
      <c r="Q74" s="309"/>
      <c r="R74" s="309"/>
      <c r="S74" s="309"/>
      <c r="T74" s="309"/>
      <c r="U74" s="309"/>
      <c r="V74" s="309"/>
      <c r="W74" s="309"/>
      <c r="X74" s="309"/>
      <c r="Y74" s="309"/>
      <c r="Z74" s="309"/>
      <c r="AA74" s="309"/>
      <c r="AB74" s="49"/>
    </row>
    <row r="75" spans="1:28" ht="21.75" customHeight="1" x14ac:dyDescent="0.25">
      <c r="A75" s="49"/>
      <c r="B75" s="550"/>
      <c r="C75" s="550"/>
      <c r="D75" s="550"/>
      <c r="E75" s="550"/>
      <c r="F75" s="550"/>
      <c r="G75" s="550"/>
      <c r="H75" s="550"/>
      <c r="I75" s="550"/>
      <c r="J75" s="307"/>
      <c r="K75" s="307"/>
      <c r="L75" s="307"/>
      <c r="M75" s="307"/>
      <c r="N75" s="307"/>
      <c r="O75" s="307"/>
      <c r="P75" s="307"/>
      <c r="Q75" s="307"/>
      <c r="R75" s="307"/>
      <c r="S75" s="307"/>
      <c r="T75" s="307"/>
      <c r="U75" s="307"/>
      <c r="V75" s="307"/>
      <c r="W75" s="307"/>
      <c r="X75" s="307"/>
      <c r="Y75" s="307"/>
      <c r="Z75" s="307"/>
      <c r="AA75" s="307"/>
      <c r="AB75" s="49"/>
    </row>
    <row r="76" spans="1:28" ht="23.25" customHeight="1" x14ac:dyDescent="0.25">
      <c r="A76" s="49"/>
      <c r="B76" s="50"/>
      <c r="C76" s="50"/>
      <c r="D76" s="50"/>
      <c r="E76" s="50"/>
      <c r="F76" s="50"/>
      <c r="AB76" s="49"/>
    </row>
    <row r="77" spans="1:28" ht="18.75" customHeight="1" x14ac:dyDescent="0.25">
      <c r="A77" s="49"/>
      <c r="B77" s="551"/>
      <c r="C77" s="551"/>
      <c r="D77" s="551"/>
      <c r="E77" s="551"/>
      <c r="F77" s="551"/>
      <c r="G77" s="551"/>
      <c r="H77" s="551"/>
      <c r="I77" s="551"/>
      <c r="J77" s="308"/>
      <c r="K77" s="308"/>
      <c r="L77" s="308"/>
      <c r="M77" s="308"/>
      <c r="N77" s="308"/>
      <c r="O77" s="308"/>
      <c r="P77" s="308"/>
      <c r="Q77" s="308"/>
      <c r="R77" s="308"/>
      <c r="S77" s="308"/>
      <c r="T77" s="308"/>
      <c r="U77" s="308"/>
      <c r="V77" s="308"/>
      <c r="W77" s="308"/>
      <c r="X77" s="308"/>
      <c r="Y77" s="308"/>
      <c r="Z77" s="308"/>
      <c r="AA77" s="308"/>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AC24:AC64">
    <cfRule type="cellIs" dxfId="18" priority="19" operator="notEqual">
      <formula>0</formula>
    </cfRule>
  </conditionalFormatting>
  <conditionalFormatting sqref="L35:M64 L24:L29 O24:S29 O31:S64 L31:L34">
    <cfRule type="cellIs" dxfId="17" priority="18" operator="notEqual">
      <formula>0</formula>
    </cfRule>
  </conditionalFormatting>
  <conditionalFormatting sqref="T24:W29 T31:W64 C24:C64 Y24:AB64 G36:I64 O30:W30 K36:K64 L30 G24:H35">
    <cfRule type="cellIs" dxfId="16" priority="20" operator="notEqual">
      <formula>0</formula>
    </cfRule>
  </conditionalFormatting>
  <conditionalFormatting sqref="X24:X64">
    <cfRule type="cellIs" dxfId="15" priority="17" operator="notEqual">
      <formula>0</formula>
    </cfRule>
  </conditionalFormatting>
  <conditionalFormatting sqref="D24:D64">
    <cfRule type="cellIs" dxfId="14" priority="16" operator="notEqual">
      <formula>0</formula>
    </cfRule>
  </conditionalFormatting>
  <conditionalFormatting sqref="E24:E64">
    <cfRule type="cellIs" dxfId="13" priority="14" operator="notEqual">
      <formula>0</formula>
    </cfRule>
  </conditionalFormatting>
  <conditionalFormatting sqref="N24:N29 N31:N64">
    <cfRule type="cellIs" dxfId="12" priority="12" operator="notEqual">
      <formula>0</formula>
    </cfRule>
  </conditionalFormatting>
  <conditionalFormatting sqref="N30">
    <cfRule type="cellIs" dxfId="11" priority="13" operator="notEqual">
      <formula>0</formula>
    </cfRule>
  </conditionalFormatting>
  <conditionalFormatting sqref="J24:J29 J31:J64">
    <cfRule type="cellIs" dxfId="10" priority="10" operator="notEqual">
      <formula>0</formula>
    </cfRule>
  </conditionalFormatting>
  <conditionalFormatting sqref="J30">
    <cfRule type="cellIs" dxfId="9" priority="11" operator="notEqual">
      <formula>0</formula>
    </cfRule>
  </conditionalFormatting>
  <conditionalFormatting sqref="K31:K35 K24:K29">
    <cfRule type="cellIs" dxfId="8" priority="8" operator="notEqual">
      <formula>0</formula>
    </cfRule>
  </conditionalFormatting>
  <conditionalFormatting sqref="K30">
    <cfRule type="cellIs" dxfId="7" priority="9" operator="notEqual">
      <formula>0</formula>
    </cfRule>
  </conditionalFormatting>
  <conditionalFormatting sqref="I31:I35 I24:I29">
    <cfRule type="cellIs" dxfId="6" priority="6" operator="notEqual">
      <formula>0</formula>
    </cfRule>
  </conditionalFormatting>
  <conditionalFormatting sqref="I30">
    <cfRule type="cellIs" dxfId="5" priority="7"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24:M29 M31:M3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X19" zoomScale="85" zoomScaleSheetLayoutView="85" workbookViewId="0">
      <selection activeCell="AQ29" sqref="AQ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3.14062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510</v>
      </c>
    </row>
    <row r="4" spans="1:48" ht="18.75" x14ac:dyDescent="0.3">
      <c r="AV4" s="14"/>
    </row>
    <row r="5" spans="1:48" ht="18.75" customHeight="1" x14ac:dyDescent="0.25">
      <c r="A5" s="451" t="str">
        <f>'1. паспорт местоположение'!A5:C5</f>
        <v>Год раскрытия информации: 2025 год</v>
      </c>
      <c r="B5" s="451"/>
      <c r="C5" s="451"/>
      <c r="D5" s="451"/>
      <c r="E5" s="451"/>
      <c r="F5" s="451"/>
      <c r="G5" s="451"/>
      <c r="H5" s="451"/>
      <c r="I5" s="451"/>
      <c r="J5" s="451"/>
      <c r="K5" s="451"/>
      <c r="L5" s="451"/>
      <c r="M5" s="451"/>
      <c r="N5" s="451"/>
      <c r="O5" s="451"/>
      <c r="P5" s="451"/>
      <c r="Q5" s="451"/>
      <c r="R5" s="451"/>
      <c r="S5" s="451"/>
      <c r="T5" s="451"/>
      <c r="U5" s="451"/>
      <c r="V5" s="451"/>
      <c r="W5" s="451"/>
      <c r="X5" s="451"/>
      <c r="Y5" s="451"/>
      <c r="Z5" s="451"/>
      <c r="AA5" s="451"/>
      <c r="AB5" s="451"/>
      <c r="AC5" s="451"/>
      <c r="AD5" s="451"/>
      <c r="AE5" s="451"/>
      <c r="AF5" s="451"/>
      <c r="AG5" s="451"/>
      <c r="AH5" s="451"/>
      <c r="AI5" s="451"/>
      <c r="AJ5" s="451"/>
      <c r="AK5" s="451"/>
      <c r="AL5" s="451"/>
      <c r="AM5" s="451"/>
      <c r="AN5" s="451"/>
      <c r="AO5" s="451"/>
      <c r="AP5" s="451"/>
      <c r="AQ5" s="451"/>
      <c r="AR5" s="451"/>
      <c r="AS5" s="451"/>
      <c r="AT5" s="451"/>
      <c r="AU5" s="451"/>
      <c r="AV5" s="451"/>
    </row>
    <row r="6" spans="1:48" ht="18.75" x14ac:dyDescent="0.3">
      <c r="AV6" s="14"/>
    </row>
    <row r="7" spans="1:48" ht="18.75" x14ac:dyDescent="0.25">
      <c r="A7" s="460" t="s">
        <v>6</v>
      </c>
      <c r="B7" s="460"/>
      <c r="C7" s="460"/>
      <c r="D7" s="460"/>
      <c r="E7" s="460"/>
      <c r="F7" s="460"/>
      <c r="G7" s="460"/>
      <c r="H7" s="460"/>
      <c r="I7" s="460"/>
      <c r="J7" s="460"/>
      <c r="K7" s="460"/>
      <c r="L7" s="460"/>
      <c r="M7" s="460"/>
      <c r="N7" s="460"/>
      <c r="O7" s="460"/>
      <c r="P7" s="460"/>
      <c r="Q7" s="460"/>
      <c r="R7" s="460"/>
      <c r="S7" s="460"/>
      <c r="T7" s="460"/>
      <c r="U7" s="460"/>
      <c r="V7" s="460"/>
      <c r="W7" s="460"/>
      <c r="X7" s="460"/>
      <c r="Y7" s="460"/>
      <c r="Z7" s="460"/>
      <c r="AA7" s="460"/>
      <c r="AB7" s="460"/>
      <c r="AC7" s="460"/>
      <c r="AD7" s="460"/>
      <c r="AE7" s="460"/>
      <c r="AF7" s="460"/>
      <c r="AG7" s="460"/>
      <c r="AH7" s="460"/>
      <c r="AI7" s="460"/>
      <c r="AJ7" s="460"/>
      <c r="AK7" s="460"/>
      <c r="AL7" s="460"/>
      <c r="AM7" s="460"/>
      <c r="AN7" s="460"/>
      <c r="AO7" s="460"/>
      <c r="AP7" s="460"/>
      <c r="AQ7" s="460"/>
      <c r="AR7" s="460"/>
      <c r="AS7" s="460"/>
      <c r="AT7" s="460"/>
      <c r="AU7" s="460"/>
      <c r="AV7" s="460"/>
    </row>
    <row r="8" spans="1:48" ht="18.75" x14ac:dyDescent="0.25">
      <c r="A8" s="460"/>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c r="AD8" s="460"/>
      <c r="AE8" s="460"/>
      <c r="AF8" s="460"/>
      <c r="AG8" s="460"/>
      <c r="AH8" s="460"/>
      <c r="AI8" s="460"/>
      <c r="AJ8" s="460"/>
      <c r="AK8" s="460"/>
      <c r="AL8" s="460"/>
      <c r="AM8" s="460"/>
      <c r="AN8" s="460"/>
      <c r="AO8" s="460"/>
      <c r="AP8" s="460"/>
      <c r="AQ8" s="460"/>
      <c r="AR8" s="460"/>
      <c r="AS8" s="460"/>
      <c r="AT8" s="460"/>
      <c r="AU8" s="460"/>
      <c r="AV8" s="460"/>
    </row>
    <row r="9" spans="1:48" x14ac:dyDescent="0.25">
      <c r="A9" s="461" t="str">
        <f>'1. паспорт местоположение'!A9:C9</f>
        <v>Акционерное общество "Россети Янтарь" ДЗО  ПАО "Россети"</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461"/>
      <c r="AB9" s="461"/>
      <c r="AC9" s="461"/>
      <c r="AD9" s="461"/>
      <c r="AE9" s="461"/>
      <c r="AF9" s="461"/>
      <c r="AG9" s="461"/>
      <c r="AH9" s="461"/>
      <c r="AI9" s="461"/>
      <c r="AJ9" s="461"/>
      <c r="AK9" s="461"/>
      <c r="AL9" s="461"/>
      <c r="AM9" s="461"/>
      <c r="AN9" s="461"/>
      <c r="AO9" s="461"/>
      <c r="AP9" s="461"/>
      <c r="AQ9" s="461"/>
      <c r="AR9" s="461"/>
      <c r="AS9" s="461"/>
      <c r="AT9" s="461"/>
      <c r="AU9" s="461"/>
      <c r="AV9" s="461"/>
    </row>
    <row r="10" spans="1:48" ht="15.75" x14ac:dyDescent="0.25">
      <c r="A10" s="465" t="s">
        <v>5</v>
      </c>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row>
    <row r="11" spans="1:48" ht="18.75" x14ac:dyDescent="0.25">
      <c r="A11" s="460"/>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0"/>
      <c r="AJ11" s="460"/>
      <c r="AK11" s="460"/>
      <c r="AL11" s="460"/>
      <c r="AM11" s="460"/>
      <c r="AN11" s="460"/>
      <c r="AO11" s="460"/>
      <c r="AP11" s="460"/>
      <c r="AQ11" s="460"/>
      <c r="AR11" s="460"/>
      <c r="AS11" s="460"/>
      <c r="AT11" s="460"/>
      <c r="AU11" s="460"/>
      <c r="AV11" s="460"/>
    </row>
    <row r="12" spans="1:48" x14ac:dyDescent="0.25">
      <c r="A12" s="461" t="str">
        <f>'1. паспорт местоположение'!A12:C12</f>
        <v>N_22-1297</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row>
    <row r="13" spans="1:48" ht="15.75" x14ac:dyDescent="0.25">
      <c r="A13" s="465" t="s">
        <v>4</v>
      </c>
      <c r="B13" s="465"/>
      <c r="C13" s="465"/>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c r="AD13" s="465"/>
      <c r="AE13" s="465"/>
      <c r="AF13" s="465"/>
      <c r="AG13" s="465"/>
      <c r="AH13" s="465"/>
      <c r="AI13" s="465"/>
      <c r="AJ13" s="465"/>
      <c r="AK13" s="465"/>
      <c r="AL13" s="465"/>
      <c r="AM13" s="465"/>
      <c r="AN13" s="465"/>
      <c r="AO13" s="465"/>
      <c r="AP13" s="465"/>
      <c r="AQ13" s="465"/>
      <c r="AR13" s="465"/>
      <c r="AS13" s="465"/>
      <c r="AT13" s="465"/>
      <c r="AU13" s="465"/>
      <c r="AV13" s="465"/>
    </row>
    <row r="14" spans="1:48" ht="18.75" x14ac:dyDescent="0.25">
      <c r="A14" s="466"/>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c r="AQ14" s="466"/>
      <c r="AR14" s="466"/>
      <c r="AS14" s="466"/>
      <c r="AT14" s="466"/>
      <c r="AU14" s="466"/>
      <c r="AV14" s="466"/>
    </row>
    <row r="15" spans="1:48" ht="33" customHeight="1" x14ac:dyDescent="0.25">
      <c r="A15" s="461"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461"/>
      <c r="AB15" s="461"/>
      <c r="AC15" s="461"/>
      <c r="AD15" s="461"/>
      <c r="AE15" s="461"/>
      <c r="AF15" s="461"/>
      <c r="AG15" s="461"/>
      <c r="AH15" s="461"/>
      <c r="AI15" s="461"/>
      <c r="AJ15" s="461"/>
      <c r="AK15" s="461"/>
      <c r="AL15" s="461"/>
      <c r="AM15" s="461"/>
      <c r="AN15" s="461"/>
      <c r="AO15" s="461"/>
      <c r="AP15" s="461"/>
      <c r="AQ15" s="461"/>
      <c r="AR15" s="461"/>
      <c r="AS15" s="461"/>
      <c r="AT15" s="461"/>
      <c r="AU15" s="461"/>
      <c r="AV15" s="461"/>
    </row>
    <row r="16" spans="1:48" ht="15.75" x14ac:dyDescent="0.25">
      <c r="A16" s="465" t="s">
        <v>3</v>
      </c>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c r="AE16" s="465"/>
      <c r="AF16" s="465"/>
      <c r="AG16" s="465"/>
      <c r="AH16" s="465"/>
      <c r="AI16" s="465"/>
      <c r="AJ16" s="465"/>
      <c r="AK16" s="465"/>
      <c r="AL16" s="465"/>
      <c r="AM16" s="465"/>
      <c r="AN16" s="465"/>
      <c r="AO16" s="465"/>
      <c r="AP16" s="465"/>
      <c r="AQ16" s="465"/>
      <c r="AR16" s="465"/>
      <c r="AS16" s="465"/>
      <c r="AT16" s="465"/>
      <c r="AU16" s="465"/>
      <c r="AV16" s="465"/>
    </row>
    <row r="17" spans="1:48" x14ac:dyDescent="0.25">
      <c r="A17" s="583"/>
      <c r="B17" s="583"/>
      <c r="C17" s="583"/>
      <c r="D17" s="583"/>
      <c r="E17" s="583"/>
      <c r="F17" s="583"/>
      <c r="G17" s="583"/>
      <c r="H17" s="583"/>
      <c r="I17" s="583"/>
      <c r="J17" s="583"/>
      <c r="K17" s="583"/>
      <c r="L17" s="583"/>
      <c r="M17" s="583"/>
      <c r="N17" s="583"/>
      <c r="O17" s="583"/>
      <c r="P17" s="583"/>
      <c r="Q17" s="583"/>
      <c r="R17" s="583"/>
      <c r="S17" s="583"/>
      <c r="T17" s="583"/>
      <c r="U17" s="583"/>
      <c r="V17" s="583"/>
      <c r="W17" s="583"/>
      <c r="X17" s="583"/>
      <c r="Y17" s="583"/>
      <c r="Z17" s="583"/>
      <c r="AA17" s="583"/>
      <c r="AB17" s="583"/>
      <c r="AC17" s="583"/>
      <c r="AD17" s="583"/>
      <c r="AE17" s="583"/>
      <c r="AF17" s="583"/>
      <c r="AG17" s="583"/>
      <c r="AH17" s="583"/>
      <c r="AI17" s="583"/>
      <c r="AJ17" s="583"/>
      <c r="AK17" s="583"/>
      <c r="AL17" s="583"/>
      <c r="AM17" s="583"/>
      <c r="AN17" s="583"/>
      <c r="AO17" s="583"/>
      <c r="AP17" s="583"/>
      <c r="AQ17" s="583"/>
      <c r="AR17" s="583"/>
      <c r="AS17" s="583"/>
      <c r="AT17" s="583"/>
      <c r="AU17" s="583"/>
      <c r="AV17" s="583"/>
    </row>
    <row r="18" spans="1:48" ht="14.25" customHeight="1" x14ac:dyDescent="0.25">
      <c r="A18" s="583"/>
      <c r="B18" s="583"/>
      <c r="C18" s="583"/>
      <c r="D18" s="583"/>
      <c r="E18" s="583"/>
      <c r="F18" s="583"/>
      <c r="G18" s="583"/>
      <c r="H18" s="583"/>
      <c r="I18" s="583"/>
      <c r="J18" s="583"/>
      <c r="K18" s="583"/>
      <c r="L18" s="583"/>
      <c r="M18" s="583"/>
      <c r="N18" s="583"/>
      <c r="O18" s="583"/>
      <c r="P18" s="583"/>
      <c r="Q18" s="583"/>
      <c r="R18" s="583"/>
      <c r="S18" s="583"/>
      <c r="T18" s="583"/>
      <c r="U18" s="583"/>
      <c r="V18" s="583"/>
      <c r="W18" s="583"/>
      <c r="X18" s="583"/>
      <c r="Y18" s="583"/>
      <c r="Z18" s="583"/>
      <c r="AA18" s="583"/>
      <c r="AB18" s="583"/>
      <c r="AC18" s="583"/>
      <c r="AD18" s="583"/>
      <c r="AE18" s="583"/>
      <c r="AF18" s="583"/>
      <c r="AG18" s="583"/>
      <c r="AH18" s="583"/>
      <c r="AI18" s="583"/>
      <c r="AJ18" s="583"/>
      <c r="AK18" s="583"/>
      <c r="AL18" s="583"/>
      <c r="AM18" s="583"/>
      <c r="AN18" s="583"/>
      <c r="AO18" s="583"/>
      <c r="AP18" s="583"/>
      <c r="AQ18" s="583"/>
      <c r="AR18" s="583"/>
      <c r="AS18" s="583"/>
      <c r="AT18" s="583"/>
      <c r="AU18" s="583"/>
      <c r="AV18" s="583"/>
    </row>
    <row r="19" spans="1:48" x14ac:dyDescent="0.25">
      <c r="A19" s="583"/>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c r="AT19" s="583"/>
      <c r="AU19" s="583"/>
      <c r="AV19" s="583"/>
    </row>
    <row r="20" spans="1:48" s="21" customFormat="1" x14ac:dyDescent="0.25">
      <c r="A20" s="584"/>
      <c r="B20" s="584"/>
      <c r="C20" s="584"/>
      <c r="D20" s="584"/>
      <c r="E20" s="584"/>
      <c r="F20" s="584"/>
      <c r="G20" s="584"/>
      <c r="H20" s="584"/>
      <c r="I20" s="584"/>
      <c r="J20" s="584"/>
      <c r="K20" s="584"/>
      <c r="L20" s="584"/>
      <c r="M20" s="584"/>
      <c r="N20" s="584"/>
      <c r="O20" s="584"/>
      <c r="P20" s="584"/>
      <c r="Q20" s="584"/>
      <c r="R20" s="584"/>
      <c r="S20" s="584"/>
      <c r="T20" s="584"/>
      <c r="U20" s="584"/>
      <c r="V20" s="584"/>
      <c r="W20" s="584"/>
      <c r="X20" s="584"/>
      <c r="Y20" s="584"/>
      <c r="Z20" s="584"/>
      <c r="AA20" s="584"/>
      <c r="AB20" s="584"/>
      <c r="AC20" s="584"/>
      <c r="AD20" s="584"/>
      <c r="AE20" s="584"/>
      <c r="AF20" s="584"/>
      <c r="AG20" s="584"/>
      <c r="AH20" s="584"/>
      <c r="AI20" s="584"/>
      <c r="AJ20" s="584"/>
      <c r="AK20" s="584"/>
      <c r="AL20" s="584"/>
      <c r="AM20" s="584"/>
      <c r="AN20" s="584"/>
      <c r="AO20" s="584"/>
      <c r="AP20" s="584"/>
      <c r="AQ20" s="584"/>
      <c r="AR20" s="584"/>
      <c r="AS20" s="584"/>
      <c r="AT20" s="584"/>
      <c r="AU20" s="584"/>
      <c r="AV20" s="584"/>
    </row>
    <row r="21" spans="1:48" s="21" customFormat="1" x14ac:dyDescent="0.25">
      <c r="A21" s="572" t="s">
        <v>440</v>
      </c>
      <c r="B21" s="572"/>
      <c r="C21" s="572"/>
      <c r="D21" s="572"/>
      <c r="E21" s="572"/>
      <c r="F21" s="572"/>
      <c r="G21" s="572"/>
      <c r="H21" s="572"/>
      <c r="I21" s="572"/>
      <c r="J21" s="572"/>
      <c r="K21" s="572"/>
      <c r="L21" s="572"/>
      <c r="M21" s="572"/>
      <c r="N21" s="572"/>
      <c r="O21" s="572"/>
      <c r="P21" s="572"/>
      <c r="Q21" s="572"/>
      <c r="R21" s="572"/>
      <c r="S21" s="572"/>
      <c r="T21" s="572"/>
      <c r="U21" s="572"/>
      <c r="V21" s="572"/>
      <c r="W21" s="572"/>
      <c r="X21" s="572"/>
      <c r="Y21" s="572"/>
      <c r="Z21" s="572"/>
      <c r="AA21" s="572"/>
      <c r="AB21" s="572"/>
      <c r="AC21" s="572"/>
      <c r="AD21" s="572"/>
      <c r="AE21" s="572"/>
      <c r="AF21" s="572"/>
      <c r="AG21" s="572"/>
      <c r="AH21" s="572"/>
      <c r="AI21" s="572"/>
      <c r="AJ21" s="572"/>
      <c r="AK21" s="572"/>
      <c r="AL21" s="572"/>
      <c r="AM21" s="572"/>
      <c r="AN21" s="572"/>
      <c r="AO21" s="572"/>
      <c r="AP21" s="572"/>
      <c r="AQ21" s="572"/>
      <c r="AR21" s="572"/>
      <c r="AS21" s="572"/>
      <c r="AT21" s="572"/>
      <c r="AU21" s="572"/>
      <c r="AV21" s="572"/>
    </row>
    <row r="22" spans="1:48" s="21" customFormat="1" ht="58.5" customHeight="1" x14ac:dyDescent="0.25">
      <c r="A22" s="563" t="s">
        <v>49</v>
      </c>
      <c r="B22" s="574" t="s">
        <v>21</v>
      </c>
      <c r="C22" s="563" t="s">
        <v>48</v>
      </c>
      <c r="D22" s="563" t="s">
        <v>47</v>
      </c>
      <c r="E22" s="577" t="s">
        <v>451</v>
      </c>
      <c r="F22" s="578"/>
      <c r="G22" s="578"/>
      <c r="H22" s="578"/>
      <c r="I22" s="578"/>
      <c r="J22" s="578"/>
      <c r="K22" s="578"/>
      <c r="L22" s="579"/>
      <c r="M22" s="563" t="s">
        <v>46</v>
      </c>
      <c r="N22" s="563" t="s">
        <v>45</v>
      </c>
      <c r="O22" s="563" t="s">
        <v>44</v>
      </c>
      <c r="P22" s="558" t="s">
        <v>232</v>
      </c>
      <c r="Q22" s="558" t="s">
        <v>43</v>
      </c>
      <c r="R22" s="558" t="s">
        <v>42</v>
      </c>
      <c r="S22" s="558" t="s">
        <v>41</v>
      </c>
      <c r="T22" s="558"/>
      <c r="U22" s="580" t="s">
        <v>40</v>
      </c>
      <c r="V22" s="580" t="s">
        <v>39</v>
      </c>
      <c r="W22" s="558" t="s">
        <v>38</v>
      </c>
      <c r="X22" s="558" t="s">
        <v>37</v>
      </c>
      <c r="Y22" s="558" t="s">
        <v>36</v>
      </c>
      <c r="Z22" s="565" t="s">
        <v>35</v>
      </c>
      <c r="AA22" s="558" t="s">
        <v>34</v>
      </c>
      <c r="AB22" s="558" t="s">
        <v>33</v>
      </c>
      <c r="AC22" s="558" t="s">
        <v>32</v>
      </c>
      <c r="AD22" s="558" t="s">
        <v>31</v>
      </c>
      <c r="AE22" s="558" t="s">
        <v>30</v>
      </c>
      <c r="AF22" s="558" t="s">
        <v>29</v>
      </c>
      <c r="AG22" s="558"/>
      <c r="AH22" s="558"/>
      <c r="AI22" s="558"/>
      <c r="AJ22" s="558"/>
      <c r="AK22" s="558"/>
      <c r="AL22" s="558" t="s">
        <v>28</v>
      </c>
      <c r="AM22" s="558"/>
      <c r="AN22" s="558"/>
      <c r="AO22" s="558"/>
      <c r="AP22" s="558" t="s">
        <v>27</v>
      </c>
      <c r="AQ22" s="558"/>
      <c r="AR22" s="558" t="s">
        <v>26</v>
      </c>
      <c r="AS22" s="558" t="s">
        <v>25</v>
      </c>
      <c r="AT22" s="558" t="s">
        <v>24</v>
      </c>
      <c r="AU22" s="558" t="s">
        <v>23</v>
      </c>
      <c r="AV22" s="566" t="s">
        <v>22</v>
      </c>
    </row>
    <row r="23" spans="1:48" s="21" customFormat="1" ht="64.5" customHeight="1" x14ac:dyDescent="0.25">
      <c r="A23" s="573"/>
      <c r="B23" s="575"/>
      <c r="C23" s="573"/>
      <c r="D23" s="573"/>
      <c r="E23" s="568" t="s">
        <v>20</v>
      </c>
      <c r="F23" s="559" t="s">
        <v>125</v>
      </c>
      <c r="G23" s="559" t="s">
        <v>124</v>
      </c>
      <c r="H23" s="559" t="s">
        <v>123</v>
      </c>
      <c r="I23" s="561" t="s">
        <v>361</v>
      </c>
      <c r="J23" s="561" t="s">
        <v>362</v>
      </c>
      <c r="K23" s="561" t="s">
        <v>363</v>
      </c>
      <c r="L23" s="559" t="s">
        <v>73</v>
      </c>
      <c r="M23" s="573"/>
      <c r="N23" s="573"/>
      <c r="O23" s="573"/>
      <c r="P23" s="558"/>
      <c r="Q23" s="558"/>
      <c r="R23" s="558"/>
      <c r="S23" s="570" t="s">
        <v>1</v>
      </c>
      <c r="T23" s="570" t="s">
        <v>8</v>
      </c>
      <c r="U23" s="580"/>
      <c r="V23" s="580"/>
      <c r="W23" s="558"/>
      <c r="X23" s="558"/>
      <c r="Y23" s="558"/>
      <c r="Z23" s="558"/>
      <c r="AA23" s="558"/>
      <c r="AB23" s="558"/>
      <c r="AC23" s="558"/>
      <c r="AD23" s="558"/>
      <c r="AE23" s="558"/>
      <c r="AF23" s="558" t="s">
        <v>19</v>
      </c>
      <c r="AG23" s="558"/>
      <c r="AH23" s="558" t="s">
        <v>18</v>
      </c>
      <c r="AI23" s="558"/>
      <c r="AJ23" s="563" t="s">
        <v>17</v>
      </c>
      <c r="AK23" s="563" t="s">
        <v>16</v>
      </c>
      <c r="AL23" s="563" t="s">
        <v>15</v>
      </c>
      <c r="AM23" s="563" t="s">
        <v>14</v>
      </c>
      <c r="AN23" s="563" t="s">
        <v>13</v>
      </c>
      <c r="AO23" s="563" t="s">
        <v>12</v>
      </c>
      <c r="AP23" s="563" t="s">
        <v>11</v>
      </c>
      <c r="AQ23" s="581" t="s">
        <v>8</v>
      </c>
      <c r="AR23" s="558"/>
      <c r="AS23" s="558"/>
      <c r="AT23" s="558"/>
      <c r="AU23" s="558"/>
      <c r="AV23" s="567"/>
    </row>
    <row r="24" spans="1:48" s="21" customFormat="1" ht="96.75" customHeight="1" x14ac:dyDescent="0.25">
      <c r="A24" s="564"/>
      <c r="B24" s="576"/>
      <c r="C24" s="564"/>
      <c r="D24" s="564"/>
      <c r="E24" s="569"/>
      <c r="F24" s="560"/>
      <c r="G24" s="560"/>
      <c r="H24" s="560"/>
      <c r="I24" s="562"/>
      <c r="J24" s="562"/>
      <c r="K24" s="562"/>
      <c r="L24" s="560"/>
      <c r="M24" s="564"/>
      <c r="N24" s="564"/>
      <c r="O24" s="564"/>
      <c r="P24" s="558"/>
      <c r="Q24" s="558"/>
      <c r="R24" s="558"/>
      <c r="S24" s="571"/>
      <c r="T24" s="571"/>
      <c r="U24" s="580"/>
      <c r="V24" s="580"/>
      <c r="W24" s="558"/>
      <c r="X24" s="558"/>
      <c r="Y24" s="558"/>
      <c r="Z24" s="558"/>
      <c r="AA24" s="558"/>
      <c r="AB24" s="558"/>
      <c r="AC24" s="558"/>
      <c r="AD24" s="558"/>
      <c r="AE24" s="558"/>
      <c r="AF24" s="92" t="s">
        <v>10</v>
      </c>
      <c r="AG24" s="92" t="s">
        <v>9</v>
      </c>
      <c r="AH24" s="93" t="s">
        <v>1</v>
      </c>
      <c r="AI24" s="93" t="s">
        <v>8</v>
      </c>
      <c r="AJ24" s="564"/>
      <c r="AK24" s="564"/>
      <c r="AL24" s="564"/>
      <c r="AM24" s="564"/>
      <c r="AN24" s="564"/>
      <c r="AO24" s="564"/>
      <c r="AP24" s="564"/>
      <c r="AQ24" s="582"/>
      <c r="AR24" s="558"/>
      <c r="AS24" s="558"/>
      <c r="AT24" s="558"/>
      <c r="AU24" s="558"/>
      <c r="AV24" s="56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8">
        <v>1</v>
      </c>
      <c r="B26" s="369" t="s">
        <v>580</v>
      </c>
      <c r="C26" s="369" t="s">
        <v>61</v>
      </c>
      <c r="D26" s="370">
        <f>'6.1. Паспорт сетевой график'!H53</f>
        <v>46022</v>
      </c>
      <c r="E26" s="371"/>
      <c r="F26" s="371"/>
      <c r="G26" s="371">
        <f>'6.2. Паспорт фин осв ввод'!C37</f>
        <v>6.3E-2</v>
      </c>
      <c r="H26" s="371"/>
      <c r="I26" s="371">
        <f>'6.2. Паспорт фин осв ввод'!C39</f>
        <v>1.931</v>
      </c>
      <c r="J26" s="371"/>
      <c r="K26" s="371"/>
      <c r="L26" s="371"/>
      <c r="M26" s="407" t="s">
        <v>597</v>
      </c>
      <c r="N26" s="407" t="s">
        <v>598</v>
      </c>
      <c r="O26" s="407" t="s">
        <v>580</v>
      </c>
      <c r="P26" s="408">
        <v>3388.6049600000001</v>
      </c>
      <c r="Q26" s="407" t="s">
        <v>599</v>
      </c>
      <c r="R26" s="408">
        <v>3388.6049600000001</v>
      </c>
      <c r="S26" s="407" t="s">
        <v>600</v>
      </c>
      <c r="T26" s="407" t="s">
        <v>600</v>
      </c>
      <c r="U26" s="409">
        <v>3</v>
      </c>
      <c r="V26" s="409">
        <v>3</v>
      </c>
      <c r="W26" s="407" t="s">
        <v>601</v>
      </c>
      <c r="X26" s="408">
        <v>2699</v>
      </c>
      <c r="Y26" s="407"/>
      <c r="Z26" s="410"/>
      <c r="AA26" s="408"/>
      <c r="AB26" s="408">
        <v>2699</v>
      </c>
      <c r="AC26" s="408" t="s">
        <v>601</v>
      </c>
      <c r="AD26" s="408">
        <f>'8. Общие сведения'!B67*1000</f>
        <v>232.95326</v>
      </c>
      <c r="AE26" s="408"/>
      <c r="AF26" s="409">
        <v>32413559887</v>
      </c>
      <c r="AG26" s="407" t="s">
        <v>602</v>
      </c>
      <c r="AH26" s="410">
        <v>45412</v>
      </c>
      <c r="AI26" s="410">
        <v>45409</v>
      </c>
      <c r="AJ26" s="410">
        <v>45420</v>
      </c>
      <c r="AK26" s="410">
        <v>45432</v>
      </c>
      <c r="AL26" s="407"/>
      <c r="AM26" s="407"/>
      <c r="AN26" s="410"/>
      <c r="AO26" s="407"/>
      <c r="AP26" s="410">
        <v>45450</v>
      </c>
      <c r="AQ26" s="410">
        <v>45450</v>
      </c>
      <c r="AR26" s="410">
        <v>45450</v>
      </c>
      <c r="AS26" s="410">
        <v>45450</v>
      </c>
      <c r="AT26" s="410">
        <v>45571</v>
      </c>
      <c r="AU26" s="407"/>
      <c r="AV26" s="407" t="s">
        <v>603</v>
      </c>
    </row>
    <row r="27" spans="1:48" s="19" customFormat="1" ht="22.5" x14ac:dyDescent="0.2">
      <c r="A27" s="368"/>
      <c r="B27" s="369"/>
      <c r="C27" s="369"/>
      <c r="D27" s="370"/>
      <c r="E27" s="371"/>
      <c r="F27" s="371"/>
      <c r="G27" s="371"/>
      <c r="H27" s="371"/>
      <c r="I27" s="371"/>
      <c r="J27" s="371"/>
      <c r="K27" s="371"/>
      <c r="L27" s="371"/>
      <c r="M27" s="407"/>
      <c r="N27" s="407"/>
      <c r="O27" s="407"/>
      <c r="P27" s="408"/>
      <c r="Q27" s="407"/>
      <c r="R27" s="408"/>
      <c r="S27" s="407"/>
      <c r="T27" s="407"/>
      <c r="U27" s="409"/>
      <c r="V27" s="409"/>
      <c r="W27" s="407" t="s">
        <v>604</v>
      </c>
      <c r="X27" s="408">
        <v>3371.66194</v>
      </c>
      <c r="Y27" s="407"/>
      <c r="Z27" s="410"/>
      <c r="AA27" s="408"/>
      <c r="AB27" s="408"/>
      <c r="AC27" s="408"/>
      <c r="AD27" s="408"/>
      <c r="AE27" s="408"/>
      <c r="AF27" s="409"/>
      <c r="AG27" s="407"/>
      <c r="AH27" s="410"/>
      <c r="AI27" s="410"/>
      <c r="AJ27" s="410"/>
      <c r="AK27" s="410"/>
      <c r="AL27" s="407"/>
      <c r="AM27" s="407"/>
      <c r="AN27" s="410"/>
      <c r="AO27" s="407"/>
      <c r="AP27" s="410"/>
      <c r="AQ27" s="410"/>
      <c r="AR27" s="410"/>
      <c r="AS27" s="410"/>
      <c r="AT27" s="410"/>
      <c r="AU27" s="407"/>
      <c r="AV27" s="407"/>
    </row>
    <row r="28" spans="1:48" s="19" customFormat="1" ht="22.5" x14ac:dyDescent="0.2">
      <c r="A28" s="368"/>
      <c r="B28" s="369"/>
      <c r="C28" s="369"/>
      <c r="D28" s="370"/>
      <c r="E28" s="371"/>
      <c r="F28" s="371"/>
      <c r="G28" s="371"/>
      <c r="H28" s="371"/>
      <c r="I28" s="371"/>
      <c r="J28" s="371"/>
      <c r="K28" s="371"/>
      <c r="L28" s="371"/>
      <c r="M28" s="407"/>
      <c r="N28" s="407"/>
      <c r="O28" s="407"/>
      <c r="P28" s="408"/>
      <c r="Q28" s="407"/>
      <c r="R28" s="408"/>
      <c r="S28" s="407"/>
      <c r="T28" s="407"/>
      <c r="U28" s="409"/>
      <c r="V28" s="409"/>
      <c r="W28" s="407" t="s">
        <v>605</v>
      </c>
      <c r="X28" s="408">
        <v>3387.7716</v>
      </c>
      <c r="Y28" s="407"/>
      <c r="Z28" s="410"/>
      <c r="AA28" s="408"/>
      <c r="AB28" s="408"/>
      <c r="AC28" s="408"/>
      <c r="AD28" s="408"/>
      <c r="AE28" s="408"/>
      <c r="AF28" s="409"/>
      <c r="AG28" s="407"/>
      <c r="AH28" s="410"/>
      <c r="AI28" s="410"/>
      <c r="AJ28" s="410"/>
      <c r="AK28" s="410"/>
      <c r="AL28" s="407"/>
      <c r="AM28" s="407"/>
      <c r="AN28" s="410"/>
      <c r="AO28" s="407"/>
      <c r="AP28" s="410"/>
      <c r="AQ28" s="410"/>
      <c r="AR28" s="410"/>
      <c r="AS28" s="410"/>
      <c r="AT28" s="410"/>
      <c r="AU28" s="407"/>
      <c r="AV28" s="407"/>
    </row>
    <row r="29" spans="1:48" s="19" customFormat="1" ht="123.75" x14ac:dyDescent="0.2">
      <c r="A29" s="429">
        <v>2</v>
      </c>
      <c r="B29" s="430" t="s">
        <v>580</v>
      </c>
      <c r="C29" s="430" t="s">
        <v>61</v>
      </c>
      <c r="D29" s="431">
        <f>D26</f>
        <v>46022</v>
      </c>
      <c r="E29" s="432"/>
      <c r="F29" s="432"/>
      <c r="G29" s="432">
        <f>G26</f>
        <v>6.3E-2</v>
      </c>
      <c r="H29" s="432"/>
      <c r="I29" s="432">
        <f>I26</f>
        <v>1.931</v>
      </c>
      <c r="J29" s="432"/>
      <c r="K29" s="432">
        <f>K26</f>
        <v>0</v>
      </c>
      <c r="L29" s="432"/>
      <c r="M29" s="433" t="s">
        <v>613</v>
      </c>
      <c r="N29" s="433" t="s">
        <v>614</v>
      </c>
      <c r="O29" s="433" t="s">
        <v>580</v>
      </c>
      <c r="P29" s="434">
        <f>10275.26171/1.2</f>
        <v>8562.7180916666675</v>
      </c>
      <c r="Q29" s="433" t="s">
        <v>599</v>
      </c>
      <c r="R29" s="435">
        <f>P29</f>
        <v>8562.7180916666675</v>
      </c>
      <c r="S29" s="430" t="s">
        <v>600</v>
      </c>
      <c r="T29" s="433" t="s">
        <v>600</v>
      </c>
      <c r="U29" s="429">
        <v>1</v>
      </c>
      <c r="V29" s="429">
        <v>1</v>
      </c>
      <c r="W29" s="430" t="s">
        <v>615</v>
      </c>
      <c r="X29" s="435">
        <v>8561.8847499999993</v>
      </c>
      <c r="Y29" s="430"/>
      <c r="Z29" s="431"/>
      <c r="AA29" s="435"/>
      <c r="AB29" s="435">
        <f>X29</f>
        <v>8561.8847499999993</v>
      </c>
      <c r="AC29" s="430" t="s">
        <v>615</v>
      </c>
      <c r="AD29" s="435">
        <f>'8. Общие сведения'!B33*1000</f>
        <v>9885.33259</v>
      </c>
      <c r="AE29" s="435">
        <v>5991.5680900000007</v>
      </c>
      <c r="AF29" s="429">
        <v>32514698036</v>
      </c>
      <c r="AG29" s="433" t="s">
        <v>616</v>
      </c>
      <c r="AH29" s="431">
        <v>45748</v>
      </c>
      <c r="AI29" s="431">
        <v>45748</v>
      </c>
      <c r="AJ29" s="431">
        <v>45777</v>
      </c>
      <c r="AK29" s="431">
        <v>45783</v>
      </c>
      <c r="AL29" s="430" t="s">
        <v>617</v>
      </c>
      <c r="AM29" s="430" t="s">
        <v>618</v>
      </c>
      <c r="AN29" s="431">
        <v>45810</v>
      </c>
      <c r="AO29" s="429">
        <v>32514698036</v>
      </c>
      <c r="AP29" s="431">
        <v>45849</v>
      </c>
      <c r="AQ29" s="431">
        <v>45849</v>
      </c>
      <c r="AR29" s="431">
        <v>45849</v>
      </c>
      <c r="AS29" s="431">
        <v>45849</v>
      </c>
      <c r="AT29" s="431">
        <v>46006</v>
      </c>
      <c r="AU29" s="430"/>
      <c r="AV29" s="430"/>
    </row>
    <row r="30" spans="1:48" s="19" customFormat="1" ht="11.25" x14ac:dyDescent="0.2">
      <c r="A30" s="368"/>
      <c r="B30" s="369"/>
      <c r="C30" s="369"/>
      <c r="D30" s="370"/>
      <c r="E30" s="371"/>
      <c r="F30" s="371"/>
      <c r="G30" s="371"/>
      <c r="H30" s="371"/>
      <c r="I30" s="371"/>
      <c r="J30" s="371"/>
      <c r="K30" s="371"/>
      <c r="L30" s="371"/>
      <c r="M30" s="411"/>
      <c r="N30" s="411"/>
      <c r="O30" s="411"/>
      <c r="P30" s="412"/>
      <c r="Q30" s="411"/>
      <c r="R30" s="412"/>
      <c r="S30" s="411"/>
      <c r="T30" s="411"/>
      <c r="U30" s="413"/>
      <c r="V30" s="413"/>
      <c r="W30" s="411"/>
      <c r="X30" s="412"/>
      <c r="Y30" s="411"/>
      <c r="Z30" s="414"/>
      <c r="AA30" s="412"/>
      <c r="AB30" s="412"/>
      <c r="AC30" s="412"/>
      <c r="AD30" s="412"/>
      <c r="AE30" s="412"/>
      <c r="AF30" s="413"/>
      <c r="AG30" s="411"/>
      <c r="AH30" s="414"/>
      <c r="AI30" s="414"/>
      <c r="AJ30" s="414"/>
      <c r="AK30" s="414"/>
      <c r="AL30" s="411"/>
      <c r="AM30" s="411"/>
      <c r="AN30" s="414"/>
      <c r="AO30" s="411"/>
      <c r="AP30" s="414"/>
      <c r="AQ30" s="414"/>
      <c r="AR30" s="414"/>
      <c r="AS30" s="414"/>
      <c r="AT30" s="414"/>
      <c r="AU30" s="411"/>
      <c r="AV30" s="411"/>
    </row>
    <row r="31" spans="1:48" s="19" customFormat="1" ht="11.25" x14ac:dyDescent="0.2">
      <c r="A31" s="368"/>
      <c r="B31" s="369"/>
      <c r="C31" s="369"/>
      <c r="D31" s="370"/>
      <c r="E31" s="371"/>
      <c r="F31" s="371"/>
      <c r="G31" s="371"/>
      <c r="H31" s="371"/>
      <c r="I31" s="371"/>
      <c r="J31" s="371"/>
      <c r="K31" s="371"/>
      <c r="L31" s="371"/>
      <c r="M31" s="411"/>
      <c r="N31" s="411"/>
      <c r="O31" s="411"/>
      <c r="P31" s="412"/>
      <c r="Q31" s="411"/>
      <c r="R31" s="412"/>
      <c r="S31" s="411"/>
      <c r="T31" s="411"/>
      <c r="U31" s="413"/>
      <c r="V31" s="413"/>
      <c r="W31" s="411"/>
      <c r="X31" s="412"/>
      <c r="Y31" s="411"/>
      <c r="Z31" s="414"/>
      <c r="AA31" s="412"/>
      <c r="AB31" s="412"/>
      <c r="AC31" s="412"/>
      <c r="AD31" s="412"/>
      <c r="AE31" s="412"/>
      <c r="AF31" s="413"/>
      <c r="AG31" s="411"/>
      <c r="AH31" s="414"/>
      <c r="AI31" s="414"/>
      <c r="AJ31" s="414"/>
      <c r="AK31" s="414"/>
      <c r="AL31" s="411"/>
      <c r="AM31" s="411"/>
      <c r="AN31" s="414"/>
      <c r="AO31" s="411"/>
      <c r="AP31" s="414"/>
      <c r="AQ31" s="414"/>
      <c r="AR31" s="414"/>
      <c r="AS31" s="414"/>
      <c r="AT31" s="414"/>
      <c r="AU31" s="411"/>
      <c r="AV31" s="411"/>
    </row>
    <row r="32" spans="1:48" x14ac:dyDescent="0.25">
      <c r="AD32" s="415">
        <f>SUM(AD26:AD31)</f>
        <v>10118.28585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4" zoomScale="80" zoomScaleNormal="90" zoomScaleSheetLayoutView="80" workbookViewId="0">
      <selection activeCell="A75" sqref="A75:B78"/>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510</v>
      </c>
    </row>
    <row r="4" spans="1:8" x14ac:dyDescent="0.25">
      <c r="B4" s="36"/>
    </row>
    <row r="5" spans="1:8" ht="18.75" x14ac:dyDescent="0.3">
      <c r="A5" s="591" t="str">
        <f>'1. паспорт местоположение'!A5:C5</f>
        <v>Год раскрытия информации: 2025 год</v>
      </c>
      <c r="B5" s="591"/>
      <c r="C5" s="60"/>
      <c r="D5" s="60"/>
      <c r="E5" s="60"/>
      <c r="F5" s="60"/>
      <c r="G5" s="60"/>
      <c r="H5" s="60"/>
    </row>
    <row r="6" spans="1:8" ht="18.75" x14ac:dyDescent="0.3">
      <c r="A6" s="311"/>
      <c r="B6" s="311"/>
      <c r="C6" s="311"/>
      <c r="D6" s="311"/>
      <c r="E6" s="311"/>
      <c r="F6" s="311"/>
      <c r="G6" s="311"/>
      <c r="H6" s="311"/>
    </row>
    <row r="7" spans="1:8" ht="18.75" x14ac:dyDescent="0.25">
      <c r="A7" s="460" t="s">
        <v>6</v>
      </c>
      <c r="B7" s="460"/>
      <c r="C7" s="97"/>
      <c r="D7" s="97"/>
      <c r="E7" s="97"/>
      <c r="F7" s="97"/>
      <c r="G7" s="97"/>
      <c r="H7" s="97"/>
    </row>
    <row r="8" spans="1:8" ht="18.75" x14ac:dyDescent="0.25">
      <c r="A8" s="97"/>
      <c r="B8" s="97"/>
      <c r="C8" s="97"/>
      <c r="D8" s="97"/>
      <c r="E8" s="97"/>
      <c r="F8" s="97"/>
      <c r="G8" s="97"/>
      <c r="H8" s="97"/>
    </row>
    <row r="9" spans="1:8" x14ac:dyDescent="0.25">
      <c r="A9" s="461" t="str">
        <f>'7. Паспорт отчет о закупке'!A9:AV9</f>
        <v>Акционерное общество "Россети Янтарь" ДЗО  ПАО "Россети"</v>
      </c>
      <c r="B9" s="461"/>
      <c r="C9" s="106"/>
      <c r="D9" s="106"/>
      <c r="E9" s="106"/>
      <c r="F9" s="106"/>
      <c r="G9" s="106"/>
      <c r="H9" s="106"/>
    </row>
    <row r="10" spans="1:8" x14ac:dyDescent="0.25">
      <c r="A10" s="465" t="s">
        <v>5</v>
      </c>
      <c r="B10" s="465"/>
      <c r="C10" s="98"/>
      <c r="D10" s="98"/>
      <c r="E10" s="98"/>
      <c r="F10" s="98"/>
      <c r="G10" s="98"/>
      <c r="H10" s="98"/>
    </row>
    <row r="11" spans="1:8" ht="18.75" x14ac:dyDescent="0.25">
      <c r="A11" s="97"/>
      <c r="B11" s="97"/>
      <c r="C11" s="97"/>
      <c r="D11" s="97"/>
      <c r="E11" s="97"/>
      <c r="F11" s="97"/>
      <c r="G11" s="97"/>
      <c r="H11" s="97"/>
    </row>
    <row r="12" spans="1:8" x14ac:dyDescent="0.25">
      <c r="A12" s="461" t="str">
        <f>'1. паспорт местоположение'!A12:C12</f>
        <v>N_22-1297</v>
      </c>
      <c r="B12" s="461"/>
      <c r="C12" s="106"/>
      <c r="D12" s="106"/>
      <c r="E12" s="106"/>
      <c r="F12" s="106"/>
      <c r="G12" s="106"/>
      <c r="H12" s="106"/>
    </row>
    <row r="13" spans="1:8" x14ac:dyDescent="0.25">
      <c r="A13" s="465" t="s">
        <v>4</v>
      </c>
      <c r="B13" s="465"/>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88" t="str">
        <f>'1. паспорт местоположение'!A15:C15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588"/>
      <c r="C15" s="106"/>
      <c r="D15" s="106"/>
      <c r="E15" s="106"/>
      <c r="F15" s="106"/>
      <c r="G15" s="106"/>
      <c r="H15" s="106"/>
    </row>
    <row r="16" spans="1:8" x14ac:dyDescent="0.25">
      <c r="A16" s="465" t="s">
        <v>3</v>
      </c>
      <c r="B16" s="465"/>
      <c r="C16" s="98"/>
      <c r="D16" s="98"/>
      <c r="E16" s="98"/>
      <c r="F16" s="98"/>
      <c r="G16" s="98"/>
      <c r="H16" s="98"/>
    </row>
    <row r="17" spans="1:4" x14ac:dyDescent="0.25">
      <c r="B17" s="71"/>
    </row>
    <row r="18" spans="1:4" x14ac:dyDescent="0.25">
      <c r="A18" s="589" t="s">
        <v>441</v>
      </c>
      <c r="B18" s="590"/>
    </row>
    <row r="19" spans="1:4" x14ac:dyDescent="0.25">
      <c r="B19" s="36"/>
    </row>
    <row r="20" spans="1:4" ht="16.5" thickBot="1" x14ac:dyDescent="0.3">
      <c r="B20" s="72"/>
    </row>
    <row r="21" spans="1:4" ht="111" thickBot="1" x14ac:dyDescent="0.3">
      <c r="A21" s="280" t="s">
        <v>311</v>
      </c>
      <c r="B21" s="299" t="str">
        <f>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row>
    <row r="22" spans="1:4" ht="16.5" thickBot="1" x14ac:dyDescent="0.3">
      <c r="A22" s="73" t="s">
        <v>312</v>
      </c>
      <c r="B22" s="74" t="str">
        <f>CONCATENATE('1. паспорт местоположение'!C26,", ",'1. паспорт местоположение'!C27)</f>
        <v>Калининградская область, Мамоновский городской округ</v>
      </c>
    </row>
    <row r="23" spans="1:4" ht="16.5" thickBot="1" x14ac:dyDescent="0.3">
      <c r="A23" s="73" t="s">
        <v>294</v>
      </c>
      <c r="B23" s="75" t="s">
        <v>583</v>
      </c>
    </row>
    <row r="24" spans="1:4" ht="16.5" thickBot="1" x14ac:dyDescent="0.3">
      <c r="A24" s="73" t="s">
        <v>313</v>
      </c>
      <c r="B24" s="75" t="str">
        <f>CONCATENATE('3.1. паспорт Техсостояние ПС'!O25," (",'3.1. паспорт Техсостояние ПС'!O25,") мВА, ",'3.2 паспорт Техсостояние ЛЭП'!R33," (",'3.2 паспорт Техсостояние ЛЭП'!S33,") км")</f>
        <v>0,063 (0,063) мВА, 1,931 (0,311) км</v>
      </c>
    </row>
    <row r="25" spans="1:4" ht="16.5" thickBot="1" x14ac:dyDescent="0.3">
      <c r="A25" s="76" t="s">
        <v>314</v>
      </c>
      <c r="B25" s="74">
        <v>2025</v>
      </c>
    </row>
    <row r="26" spans="1:4" ht="16.5" thickBot="1" x14ac:dyDescent="0.3">
      <c r="A26" s="77" t="s">
        <v>315</v>
      </c>
      <c r="B26" s="78" t="s">
        <v>611</v>
      </c>
    </row>
    <row r="27" spans="1:4" ht="29.25" thickBot="1" x14ac:dyDescent="0.3">
      <c r="A27" s="85" t="s">
        <v>586</v>
      </c>
      <c r="B27" s="238">
        <f>'6.2. Паспорт фин осв ввод'!C24</f>
        <v>9.3210395500000001</v>
      </c>
    </row>
    <row r="28" spans="1:4" ht="16.5" thickBot="1" x14ac:dyDescent="0.3">
      <c r="A28" s="80" t="s">
        <v>316</v>
      </c>
      <c r="B28" s="80" t="s">
        <v>581</v>
      </c>
    </row>
    <row r="29" spans="1:4" ht="29.25" thickBot="1" x14ac:dyDescent="0.3">
      <c r="A29" s="86" t="s">
        <v>317</v>
      </c>
      <c r="B29" s="372">
        <f>'7. Паспорт отчет о закупке'!AD32/1000</f>
        <v>10.118285849999999</v>
      </c>
    </row>
    <row r="30" spans="1:4" ht="29.25" thickBot="1" x14ac:dyDescent="0.3">
      <c r="A30" s="86" t="s">
        <v>318</v>
      </c>
      <c r="B30" s="372">
        <f>B32+B49+B66</f>
        <v>10.423232140000001</v>
      </c>
      <c r="C30" s="49"/>
      <c r="D30" s="49"/>
    </row>
    <row r="31" spans="1:4" ht="16.5" thickBot="1" x14ac:dyDescent="0.3">
      <c r="A31" s="80" t="s">
        <v>319</v>
      </c>
      <c r="B31" s="241"/>
      <c r="C31" s="49"/>
      <c r="D31" s="49"/>
    </row>
    <row r="32" spans="1:4" ht="29.25" thickBot="1" x14ac:dyDescent="0.3">
      <c r="A32" s="86" t="s">
        <v>320</v>
      </c>
      <c r="B32" s="372">
        <f>SUMIF(C33:C48,10,B33:B48)</f>
        <v>9.8853325900000009</v>
      </c>
      <c r="C32" s="49"/>
      <c r="D32" s="49"/>
    </row>
    <row r="33" spans="1:4" s="242" customFormat="1" ht="30.75" thickBot="1" x14ac:dyDescent="0.3">
      <c r="A33" s="440" t="s">
        <v>620</v>
      </c>
      <c r="B33" s="441">
        <f>10.2742617*0+B36</f>
        <v>9.8853325900000009</v>
      </c>
      <c r="C33" s="49">
        <v>10</v>
      </c>
      <c r="D33" s="49"/>
    </row>
    <row r="34" spans="1:4" ht="16.5" thickBot="1" x14ac:dyDescent="0.3">
      <c r="A34" s="442" t="s">
        <v>322</v>
      </c>
      <c r="B34" s="443">
        <f>B33/$B$27</f>
        <v>1.0605397109381431</v>
      </c>
      <c r="C34" s="49"/>
      <c r="D34" s="49"/>
    </row>
    <row r="35" spans="1:4" ht="16.5" thickBot="1" x14ac:dyDescent="0.3">
      <c r="A35" s="442" t="s">
        <v>323</v>
      </c>
      <c r="B35" s="444">
        <v>9.8853325900000009</v>
      </c>
      <c r="C35" s="49">
        <v>1</v>
      </c>
      <c r="D35" s="49"/>
    </row>
    <row r="36" spans="1:4" ht="16.5" thickBot="1" x14ac:dyDescent="0.3">
      <c r="A36" s="442" t="s">
        <v>324</v>
      </c>
      <c r="B36" s="444">
        <v>9.8853325900000009</v>
      </c>
      <c r="C36" s="49">
        <v>2</v>
      </c>
      <c r="D36" s="49"/>
    </row>
    <row r="37" spans="1:4" s="242" customFormat="1" ht="16.5" thickBot="1" x14ac:dyDescent="0.3">
      <c r="A37" s="246" t="s">
        <v>321</v>
      </c>
      <c r="B37" s="373"/>
      <c r="C37" s="49">
        <v>10</v>
      </c>
      <c r="D37" s="49"/>
    </row>
    <row r="38" spans="1:4" ht="16.5" thickBot="1" x14ac:dyDescent="0.3">
      <c r="A38" s="80" t="s">
        <v>322</v>
      </c>
      <c r="B38" s="243">
        <f t="shared" ref="B38" si="0">B37/$B$27</f>
        <v>0</v>
      </c>
      <c r="C38" s="49"/>
      <c r="D38" s="49"/>
    </row>
    <row r="39" spans="1:4" ht="16.5" thickBot="1" x14ac:dyDescent="0.3">
      <c r="A39" s="80" t="s">
        <v>323</v>
      </c>
      <c r="B39" s="372"/>
      <c r="C39" s="49">
        <v>1</v>
      </c>
      <c r="D39" s="49"/>
    </row>
    <row r="40" spans="1:4" ht="16.5" thickBot="1" x14ac:dyDescent="0.3">
      <c r="A40" s="80" t="s">
        <v>324</v>
      </c>
      <c r="B40" s="372"/>
      <c r="C40" s="49">
        <v>2</v>
      </c>
      <c r="D40" s="49"/>
    </row>
    <row r="41" spans="1:4" ht="16.5" thickBot="1" x14ac:dyDescent="0.3">
      <c r="A41" s="246" t="s">
        <v>321</v>
      </c>
      <c r="B41" s="373"/>
      <c r="C41" s="49">
        <v>10</v>
      </c>
      <c r="D41" s="49"/>
    </row>
    <row r="42" spans="1:4" s="242" customFormat="1" ht="16.5" thickBot="1" x14ac:dyDescent="0.3">
      <c r="A42" s="80" t="s">
        <v>322</v>
      </c>
      <c r="B42" s="243">
        <f t="shared" ref="B42" si="1">B41/$B$27</f>
        <v>0</v>
      </c>
      <c r="C42" s="49"/>
      <c r="D42" s="49"/>
    </row>
    <row r="43" spans="1:4" ht="16.5" thickBot="1" x14ac:dyDescent="0.3">
      <c r="A43" s="80" t="s">
        <v>323</v>
      </c>
      <c r="B43" s="372"/>
      <c r="C43" s="49">
        <v>1</v>
      </c>
      <c r="D43" s="49"/>
    </row>
    <row r="44" spans="1:4" ht="16.5" thickBot="1" x14ac:dyDescent="0.3">
      <c r="A44" s="80" t="s">
        <v>324</v>
      </c>
      <c r="B44" s="372"/>
      <c r="C44" s="49">
        <v>2</v>
      </c>
      <c r="D44" s="49"/>
    </row>
    <row r="45" spans="1:4" ht="16.5" thickBot="1" x14ac:dyDescent="0.3">
      <c r="A45" s="246" t="s">
        <v>321</v>
      </c>
      <c r="B45" s="373"/>
      <c r="C45" s="49">
        <v>10</v>
      </c>
      <c r="D45" s="49"/>
    </row>
    <row r="46" spans="1:4" s="242" customFormat="1" ht="16.5" thickBot="1" x14ac:dyDescent="0.3">
      <c r="A46" s="80" t="s">
        <v>322</v>
      </c>
      <c r="B46" s="243">
        <f t="shared" ref="B46" si="2">B45/$B$27</f>
        <v>0</v>
      </c>
      <c r="C46" s="49"/>
      <c r="D46" s="49"/>
    </row>
    <row r="47" spans="1:4" ht="16.5" thickBot="1" x14ac:dyDescent="0.3">
      <c r="A47" s="80" t="s">
        <v>323</v>
      </c>
      <c r="B47" s="372"/>
      <c r="C47" s="49">
        <v>1</v>
      </c>
      <c r="D47" s="49"/>
    </row>
    <row r="48" spans="1:4" ht="16.5" thickBot="1" x14ac:dyDescent="0.3">
      <c r="A48" s="80" t="s">
        <v>324</v>
      </c>
      <c r="B48" s="372"/>
      <c r="C48" s="49">
        <v>2</v>
      </c>
      <c r="D48" s="49"/>
    </row>
    <row r="49" spans="1:4" ht="29.25" thickBot="1" x14ac:dyDescent="0.3">
      <c r="A49" s="86" t="s">
        <v>325</v>
      </c>
      <c r="B49" s="372">
        <f>SUMIF(C50:C65,20,B50:B65)</f>
        <v>0</v>
      </c>
      <c r="C49" s="49"/>
      <c r="D49" s="49"/>
    </row>
    <row r="50" spans="1:4" s="242" customFormat="1" ht="16.5" thickBot="1" x14ac:dyDescent="0.3">
      <c r="A50" s="246" t="s">
        <v>321</v>
      </c>
      <c r="B50" s="373"/>
      <c r="C50" s="49">
        <v>20</v>
      </c>
      <c r="D50" s="49"/>
    </row>
    <row r="51" spans="1:4" ht="16.5" thickBot="1" x14ac:dyDescent="0.3">
      <c r="A51" s="80" t="s">
        <v>322</v>
      </c>
      <c r="B51" s="243">
        <f>B50/$B$27</f>
        <v>0</v>
      </c>
      <c r="C51" s="49"/>
      <c r="D51" s="49"/>
    </row>
    <row r="52" spans="1:4" ht="16.5" thickBot="1" x14ac:dyDescent="0.3">
      <c r="A52" s="80" t="s">
        <v>323</v>
      </c>
      <c r="B52" s="372"/>
      <c r="C52" s="49">
        <v>1</v>
      </c>
      <c r="D52" s="49"/>
    </row>
    <row r="53" spans="1:4" ht="16.5" thickBot="1" x14ac:dyDescent="0.3">
      <c r="A53" s="80" t="s">
        <v>324</v>
      </c>
      <c r="B53" s="372"/>
      <c r="C53" s="49">
        <v>2</v>
      </c>
      <c r="D53" s="49"/>
    </row>
    <row r="54" spans="1:4" s="242" customFormat="1" ht="16.5" thickBot="1" x14ac:dyDescent="0.3">
      <c r="A54" s="246" t="s">
        <v>321</v>
      </c>
      <c r="B54" s="373"/>
      <c r="C54" s="49">
        <v>20</v>
      </c>
      <c r="D54" s="49"/>
    </row>
    <row r="55" spans="1:4" ht="16.5" thickBot="1" x14ac:dyDescent="0.3">
      <c r="A55" s="80" t="s">
        <v>322</v>
      </c>
      <c r="B55" s="243">
        <f t="shared" ref="B55" si="3">B54/$B$27</f>
        <v>0</v>
      </c>
      <c r="C55" s="49"/>
      <c r="D55" s="49"/>
    </row>
    <row r="56" spans="1:4" ht="16.5" thickBot="1" x14ac:dyDescent="0.3">
      <c r="A56" s="80" t="s">
        <v>323</v>
      </c>
      <c r="B56" s="372"/>
      <c r="C56" s="49">
        <v>1</v>
      </c>
      <c r="D56" s="49"/>
    </row>
    <row r="57" spans="1:4" ht="16.5" thickBot="1" x14ac:dyDescent="0.3">
      <c r="A57" s="80" t="s">
        <v>324</v>
      </c>
      <c r="B57" s="372"/>
      <c r="C57" s="49">
        <v>2</v>
      </c>
      <c r="D57" s="49"/>
    </row>
    <row r="58" spans="1:4" ht="16.5" thickBot="1" x14ac:dyDescent="0.3">
      <c r="A58" s="246" t="s">
        <v>321</v>
      </c>
      <c r="B58" s="373"/>
      <c r="C58" s="49">
        <v>20</v>
      </c>
      <c r="D58" s="49"/>
    </row>
    <row r="59" spans="1:4" s="242" customFormat="1" ht="16.5" thickBot="1" x14ac:dyDescent="0.3">
      <c r="A59" s="80" t="s">
        <v>322</v>
      </c>
      <c r="B59" s="243">
        <f t="shared" ref="B59" si="4">B58/$B$27</f>
        <v>0</v>
      </c>
      <c r="C59" s="49"/>
      <c r="D59" s="49"/>
    </row>
    <row r="60" spans="1:4" ht="16.5" thickBot="1" x14ac:dyDescent="0.3">
      <c r="A60" s="80" t="s">
        <v>323</v>
      </c>
      <c r="B60" s="372"/>
      <c r="C60" s="49">
        <v>1</v>
      </c>
      <c r="D60" s="49"/>
    </row>
    <row r="61" spans="1:4" ht="16.5" thickBot="1" x14ac:dyDescent="0.3">
      <c r="A61" s="80" t="s">
        <v>324</v>
      </c>
      <c r="B61" s="372"/>
      <c r="C61" s="49">
        <v>2</v>
      </c>
      <c r="D61" s="49"/>
    </row>
    <row r="62" spans="1:4" ht="16.5" thickBot="1" x14ac:dyDescent="0.3">
      <c r="A62" s="246" t="s">
        <v>321</v>
      </c>
      <c r="B62" s="373"/>
      <c r="C62" s="49">
        <v>20</v>
      </c>
      <c r="D62" s="49"/>
    </row>
    <row r="63" spans="1:4" s="242" customFormat="1" ht="16.5" thickBot="1" x14ac:dyDescent="0.3">
      <c r="A63" s="80" t="s">
        <v>322</v>
      </c>
      <c r="B63" s="243">
        <f t="shared" ref="B63" si="5">B62/$B$27</f>
        <v>0</v>
      </c>
      <c r="C63" s="49"/>
      <c r="D63" s="49"/>
    </row>
    <row r="64" spans="1:4" ht="16.5" thickBot="1" x14ac:dyDescent="0.3">
      <c r="A64" s="80" t="s">
        <v>323</v>
      </c>
      <c r="B64" s="372"/>
      <c r="C64" s="49">
        <v>1</v>
      </c>
      <c r="D64" s="49"/>
    </row>
    <row r="65" spans="1:4" ht="16.5" thickBot="1" x14ac:dyDescent="0.3">
      <c r="A65" s="80" t="s">
        <v>324</v>
      </c>
      <c r="B65" s="372"/>
      <c r="C65" s="49">
        <v>2</v>
      </c>
      <c r="D65" s="49"/>
    </row>
    <row r="66" spans="1:4" ht="29.25" thickBot="1" x14ac:dyDescent="0.3">
      <c r="A66" s="86" t="s">
        <v>326</v>
      </c>
      <c r="B66" s="372">
        <f>SUMIF(C67:C82,30,B67:B82)</f>
        <v>0.53789955</v>
      </c>
      <c r="C66" s="49"/>
      <c r="D66" s="49"/>
    </row>
    <row r="67" spans="1:4" s="242" customFormat="1" ht="30.75" thickBot="1" x14ac:dyDescent="0.3">
      <c r="A67" s="416" t="s">
        <v>606</v>
      </c>
      <c r="B67" s="417">
        <v>0.23295326</v>
      </c>
      <c r="C67" s="49">
        <v>30</v>
      </c>
      <c r="D67" s="49"/>
    </row>
    <row r="68" spans="1:4" ht="16.5" thickBot="1" x14ac:dyDescent="0.3">
      <c r="A68" s="80" t="s">
        <v>322</v>
      </c>
      <c r="B68" s="243">
        <f t="shared" ref="B68" si="6">B67/$B$27</f>
        <v>2.4992197356356029E-2</v>
      </c>
      <c r="C68" s="49"/>
      <c r="D68" s="49"/>
    </row>
    <row r="69" spans="1:4" ht="16.5" thickBot="1" x14ac:dyDescent="0.3">
      <c r="A69" s="80" t="s">
        <v>323</v>
      </c>
      <c r="B69" s="372">
        <v>0.23295326000000002</v>
      </c>
      <c r="C69" s="49">
        <v>1</v>
      </c>
      <c r="D69" s="49"/>
    </row>
    <row r="70" spans="1:4" ht="16.5" thickBot="1" x14ac:dyDescent="0.3">
      <c r="A70" s="80" t="s">
        <v>324</v>
      </c>
      <c r="B70" s="372">
        <v>0.23295326000000002</v>
      </c>
      <c r="C70" s="49">
        <v>2</v>
      </c>
      <c r="D70" s="49"/>
    </row>
    <row r="71" spans="1:4" s="242" customFormat="1" ht="30.75" thickBot="1" x14ac:dyDescent="0.3">
      <c r="A71" s="445" t="s">
        <v>621</v>
      </c>
      <c r="B71" s="446">
        <v>0.17026168</v>
      </c>
      <c r="C71" s="49">
        <v>30</v>
      </c>
      <c r="D71" s="49"/>
    </row>
    <row r="72" spans="1:4" ht="16.5" thickBot="1" x14ac:dyDescent="0.3">
      <c r="A72" s="442" t="s">
        <v>322</v>
      </c>
      <c r="B72" s="443">
        <f t="shared" ref="B72" si="7">B71/$B$27</f>
        <v>1.8266383173966901E-2</v>
      </c>
      <c r="C72" s="49"/>
      <c r="D72" s="49"/>
    </row>
    <row r="73" spans="1:4" ht="16.5" thickBot="1" x14ac:dyDescent="0.3">
      <c r="A73" s="442" t="s">
        <v>323</v>
      </c>
      <c r="B73" s="444">
        <f>B71</f>
        <v>0.17026168</v>
      </c>
      <c r="C73" s="49">
        <v>1</v>
      </c>
      <c r="D73" s="49"/>
    </row>
    <row r="74" spans="1:4" ht="16.5" thickBot="1" x14ac:dyDescent="0.3">
      <c r="A74" s="442" t="s">
        <v>324</v>
      </c>
      <c r="B74" s="444">
        <f>B71</f>
        <v>0.17026168</v>
      </c>
      <c r="C74" s="49">
        <v>2</v>
      </c>
      <c r="D74" s="49"/>
    </row>
    <row r="75" spans="1:4" ht="30.75" thickBot="1" x14ac:dyDescent="0.3">
      <c r="A75" s="416" t="s">
        <v>622</v>
      </c>
      <c r="B75" s="447">
        <v>0.13468461000000001</v>
      </c>
      <c r="C75" s="49">
        <v>30</v>
      </c>
      <c r="D75" s="49"/>
    </row>
    <row r="76" spans="1:4" ht="16.5" thickBot="1" x14ac:dyDescent="0.3">
      <c r="A76" s="80" t="s">
        <v>322</v>
      </c>
      <c r="B76" s="243">
        <f t="shared" ref="B76" si="8">B75/$B$25</f>
        <v>6.6510918518518527E-5</v>
      </c>
      <c r="C76" s="49"/>
      <c r="D76" s="49"/>
    </row>
    <row r="77" spans="1:4" ht="16.5" thickBot="1" x14ac:dyDescent="0.3">
      <c r="A77" s="80" t="s">
        <v>323</v>
      </c>
      <c r="B77" s="372">
        <f>B75</f>
        <v>0.13468461000000001</v>
      </c>
      <c r="C77" s="49">
        <v>1</v>
      </c>
      <c r="D77" s="49"/>
    </row>
    <row r="78" spans="1:4" ht="16.5" thickBot="1" x14ac:dyDescent="0.3">
      <c r="A78" s="80" t="s">
        <v>324</v>
      </c>
      <c r="B78" s="372">
        <f>B75</f>
        <v>0.13468461000000001</v>
      </c>
      <c r="C78" s="49">
        <v>2</v>
      </c>
      <c r="D78" s="49"/>
    </row>
    <row r="79" spans="1:4" ht="16.5" thickBot="1" x14ac:dyDescent="0.3">
      <c r="A79" s="246" t="s">
        <v>321</v>
      </c>
      <c r="B79" s="373"/>
      <c r="C79" s="49">
        <v>30</v>
      </c>
      <c r="D79" s="49"/>
    </row>
    <row r="80" spans="1:4" ht="16.5" thickBot="1" x14ac:dyDescent="0.3">
      <c r="A80" s="80" t="s">
        <v>322</v>
      </c>
      <c r="B80" s="243">
        <f t="shared" ref="B80" si="9">B79/$B$27</f>
        <v>0</v>
      </c>
      <c r="C80" s="49"/>
      <c r="D80" s="49"/>
    </row>
    <row r="81" spans="1:4" ht="16.5" thickBot="1" x14ac:dyDescent="0.3">
      <c r="A81" s="80" t="s">
        <v>323</v>
      </c>
      <c r="B81" s="372"/>
      <c r="C81" s="49">
        <v>1</v>
      </c>
      <c r="D81" s="49"/>
    </row>
    <row r="82" spans="1:4" ht="16.5" thickBot="1" x14ac:dyDescent="0.3">
      <c r="A82" s="80" t="s">
        <v>324</v>
      </c>
      <c r="B82" s="372"/>
      <c r="C82" s="49">
        <v>2</v>
      </c>
      <c r="D82" s="49"/>
    </row>
    <row r="83" spans="1:4" ht="29.25" thickBot="1" x14ac:dyDescent="0.3">
      <c r="A83" s="79" t="s">
        <v>327</v>
      </c>
      <c r="B83" s="418">
        <f>B30/B27</f>
        <v>1.1182478181846145</v>
      </c>
      <c r="C83" s="49"/>
      <c r="D83" s="49"/>
    </row>
    <row r="84" spans="1:4" ht="15.6" customHeight="1" thickBot="1" x14ac:dyDescent="0.3">
      <c r="A84" s="81" t="s">
        <v>319</v>
      </c>
      <c r="B84" s="418"/>
      <c r="C84" s="49"/>
      <c r="D84" s="49"/>
    </row>
    <row r="85" spans="1:4" ht="16.5" thickBot="1" x14ac:dyDescent="0.3">
      <c r="A85" s="81" t="s">
        <v>328</v>
      </c>
      <c r="B85" s="418">
        <f>B34</f>
        <v>1.0605397109381431</v>
      </c>
      <c r="C85" s="49"/>
      <c r="D85" s="49"/>
    </row>
    <row r="86" spans="1:4" ht="16.5" thickBot="1" x14ac:dyDescent="0.3">
      <c r="A86" s="81" t="s">
        <v>329</v>
      </c>
      <c r="B86" s="418"/>
      <c r="C86" s="49"/>
      <c r="D86" s="49"/>
    </row>
    <row r="87" spans="1:4" ht="16.5" thickBot="1" x14ac:dyDescent="0.3">
      <c r="A87" s="81" t="s">
        <v>330</v>
      </c>
      <c r="B87" s="418">
        <f>B68</f>
        <v>2.4992197356356029E-2</v>
      </c>
      <c r="C87" s="49"/>
      <c r="D87" s="49"/>
    </row>
    <row r="88" spans="1:4" ht="16.5" thickBot="1" x14ac:dyDescent="0.3">
      <c r="A88" s="76" t="s">
        <v>331</v>
      </c>
      <c r="B88" s="244">
        <f>B89/$B$27</f>
        <v>1.1182478181846145</v>
      </c>
      <c r="C88" s="49"/>
      <c r="D88" s="49"/>
    </row>
    <row r="89" spans="1:4" ht="16.5" thickBot="1" x14ac:dyDescent="0.3">
      <c r="A89" s="76" t="s">
        <v>332</v>
      </c>
      <c r="B89" s="374">
        <f xml:space="preserve"> SUMIF(C33:C82, 1,B33:B82)</f>
        <v>10.423232140000001</v>
      </c>
      <c r="C89" s="419">
        <f>'6.2. Паспорт фин осв ввод'!D24-'6.2. Паспорт фин осв ввод'!F24</f>
        <v>-9.3210395500000001</v>
      </c>
      <c r="D89" s="49"/>
    </row>
    <row r="90" spans="1:4" ht="16.5" thickBot="1" x14ac:dyDescent="0.3">
      <c r="A90" s="76" t="s">
        <v>333</v>
      </c>
      <c r="B90" s="244">
        <f>B91/$B$27</f>
        <v>1.1182478181846145</v>
      </c>
      <c r="C90" s="419"/>
      <c r="D90" s="49"/>
    </row>
    <row r="91" spans="1:4" ht="16.5" thickBot="1" x14ac:dyDescent="0.3">
      <c r="A91" s="77" t="s">
        <v>334</v>
      </c>
      <c r="B91" s="374">
        <f xml:space="preserve"> SUMIF(C33:C82, 2,B33:B82)</f>
        <v>10.423232140000001</v>
      </c>
      <c r="C91" s="419">
        <f>'6.2. Паспорт фин осв ввод'!D30-'6.2. Паспорт фин осв ввод'!F30</f>
        <v>-7.5345797000000001</v>
      </c>
      <c r="D91" s="49"/>
    </row>
    <row r="92" spans="1:4" ht="30" x14ac:dyDescent="0.25">
      <c r="A92" s="79" t="s">
        <v>335</v>
      </c>
      <c r="B92" s="81" t="s">
        <v>336</v>
      </c>
      <c r="C92" s="49"/>
      <c r="D92" s="49"/>
    </row>
    <row r="93" spans="1:4" x14ac:dyDescent="0.25">
      <c r="A93" s="83" t="s">
        <v>337</v>
      </c>
      <c r="B93" s="83" t="s">
        <v>580</v>
      </c>
      <c r="C93" s="49"/>
      <c r="D93" s="49"/>
    </row>
    <row r="94" spans="1:4" x14ac:dyDescent="0.25">
      <c r="A94" s="83" t="s">
        <v>338</v>
      </c>
      <c r="B94" s="83" t="s">
        <v>607</v>
      </c>
      <c r="C94" s="49"/>
      <c r="D94" s="49"/>
    </row>
    <row r="95" spans="1:4" x14ac:dyDescent="0.25">
      <c r="A95" s="83" t="s">
        <v>339</v>
      </c>
      <c r="B95" s="83"/>
      <c r="C95" s="49"/>
      <c r="D95" s="49"/>
    </row>
    <row r="96" spans="1:4" ht="30" x14ac:dyDescent="0.25">
      <c r="A96" s="83" t="s">
        <v>340</v>
      </c>
      <c r="B96" s="83" t="s">
        <v>619</v>
      </c>
      <c r="C96" s="49"/>
      <c r="D96" s="49"/>
    </row>
    <row r="97" spans="1:4" ht="16.5" thickBot="1" x14ac:dyDescent="0.3">
      <c r="A97" s="84" t="s">
        <v>341</v>
      </c>
      <c r="B97" s="84"/>
      <c r="C97" s="49"/>
      <c r="D97" s="49"/>
    </row>
    <row r="98" spans="1:4" ht="30.75" thickBot="1" x14ac:dyDescent="0.3">
      <c r="A98" s="81" t="s">
        <v>342</v>
      </c>
      <c r="B98" s="82" t="s">
        <v>502</v>
      </c>
      <c r="C98" s="49"/>
      <c r="D98" s="49"/>
    </row>
    <row r="99" spans="1:4" ht="29.25" thickBot="1" x14ac:dyDescent="0.3">
      <c r="A99" s="76" t="s">
        <v>343</v>
      </c>
      <c r="B99" s="375">
        <v>7</v>
      </c>
      <c r="C99" s="49"/>
      <c r="D99" s="49"/>
    </row>
    <row r="100" spans="1:4" ht="16.5" thickBot="1" x14ac:dyDescent="0.3">
      <c r="A100" s="81" t="s">
        <v>319</v>
      </c>
      <c r="B100" s="376"/>
      <c r="C100" s="49"/>
      <c r="D100" s="49"/>
    </row>
    <row r="101" spans="1:4" ht="28.5" customHeight="1" thickBot="1" x14ac:dyDescent="0.3">
      <c r="A101" s="81" t="s">
        <v>344</v>
      </c>
      <c r="B101" s="375">
        <v>4</v>
      </c>
      <c r="C101" s="49"/>
      <c r="D101" s="49"/>
    </row>
    <row r="102" spans="1:4" ht="16.5" thickBot="1" x14ac:dyDescent="0.3">
      <c r="A102" s="81" t="s">
        <v>345</v>
      </c>
      <c r="B102" s="375">
        <v>3</v>
      </c>
      <c r="C102" s="49"/>
      <c r="D102" s="49"/>
    </row>
    <row r="103" spans="1:4" ht="16.5" thickBot="1" x14ac:dyDescent="0.3">
      <c r="A103" s="89" t="s">
        <v>346</v>
      </c>
      <c r="B103" s="90" t="s">
        <v>582</v>
      </c>
      <c r="C103" s="49"/>
      <c r="D103" s="49"/>
    </row>
    <row r="104" spans="1:4" ht="16.5" thickBot="1" x14ac:dyDescent="0.3">
      <c r="A104" s="76" t="s">
        <v>347</v>
      </c>
      <c r="B104" s="87"/>
      <c r="C104" s="49"/>
      <c r="D104" s="49"/>
    </row>
    <row r="105" spans="1:4" ht="16.5" thickBot="1" x14ac:dyDescent="0.3">
      <c r="A105" s="83" t="s">
        <v>348</v>
      </c>
      <c r="B105" s="377" t="str">
        <f>'6.1. Паспорт сетевой график'!H43</f>
        <v>не требуется</v>
      </c>
      <c r="C105" s="49"/>
      <c r="D105" s="49"/>
    </row>
    <row r="106" spans="1:4" ht="16.5" thickBot="1" x14ac:dyDescent="0.3">
      <c r="A106" s="83" t="s">
        <v>349</v>
      </c>
      <c r="B106" s="90" t="s">
        <v>502</v>
      </c>
      <c r="C106" s="49"/>
      <c r="D106" s="49"/>
    </row>
    <row r="107" spans="1:4" ht="16.5" thickBot="1" x14ac:dyDescent="0.3">
      <c r="A107" s="83" t="s">
        <v>350</v>
      </c>
      <c r="B107" s="90" t="s">
        <v>502</v>
      </c>
      <c r="C107" s="49"/>
      <c r="D107" s="49"/>
    </row>
    <row r="108" spans="1:4" ht="29.25" thickBot="1" x14ac:dyDescent="0.3">
      <c r="A108" s="378" t="s">
        <v>351</v>
      </c>
      <c r="B108" s="88" t="s">
        <v>509</v>
      </c>
      <c r="C108" s="49"/>
      <c r="D108" s="49"/>
    </row>
    <row r="109" spans="1:4" ht="28.5" x14ac:dyDescent="0.25">
      <c r="A109" s="79" t="s">
        <v>352</v>
      </c>
      <c r="B109" s="585" t="s">
        <v>501</v>
      </c>
      <c r="C109" s="49"/>
      <c r="D109" s="49"/>
    </row>
    <row r="110" spans="1:4" x14ac:dyDescent="0.25">
      <c r="A110" s="83" t="s">
        <v>353</v>
      </c>
      <c r="B110" s="586"/>
      <c r="C110" s="49"/>
      <c r="D110" s="49"/>
    </row>
    <row r="111" spans="1:4" x14ac:dyDescent="0.25">
      <c r="A111" s="83" t="s">
        <v>354</v>
      </c>
      <c r="B111" s="586"/>
      <c r="C111" s="49"/>
      <c r="D111" s="49"/>
    </row>
    <row r="112" spans="1:4" x14ac:dyDescent="0.25">
      <c r="A112" s="83" t="s">
        <v>355</v>
      </c>
      <c r="B112" s="586"/>
      <c r="C112" s="49"/>
      <c r="D112" s="49"/>
    </row>
    <row r="113" spans="1:4" x14ac:dyDescent="0.25">
      <c r="A113" s="83" t="s">
        <v>356</v>
      </c>
      <c r="B113" s="586"/>
      <c r="C113" s="49"/>
      <c r="D113" s="49"/>
    </row>
    <row r="114" spans="1:4" ht="16.5" thickBot="1" x14ac:dyDescent="0.3">
      <c r="A114" s="91" t="s">
        <v>357</v>
      </c>
      <c r="B114" s="587"/>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1" t="str">
        <f>'1. паспорт местоположение'!A5:C5</f>
        <v>Год раскрытия информации: 2025 год</v>
      </c>
      <c r="B4" s="451"/>
      <c r="C4" s="451"/>
      <c r="D4" s="451"/>
      <c r="E4" s="451"/>
      <c r="F4" s="451"/>
      <c r="G4" s="451"/>
      <c r="H4" s="451"/>
      <c r="I4" s="451"/>
      <c r="J4" s="451"/>
      <c r="K4" s="451"/>
      <c r="L4" s="451"/>
      <c r="M4" s="451"/>
      <c r="N4" s="451"/>
      <c r="O4" s="451"/>
      <c r="P4" s="451"/>
      <c r="Q4" s="451"/>
      <c r="R4" s="451"/>
      <c r="S4" s="451"/>
    </row>
    <row r="5" spans="1:28" s="11" customFormat="1" ht="15.75" x14ac:dyDescent="0.2">
      <c r="A5" s="16"/>
    </row>
    <row r="6" spans="1:28" s="11" customFormat="1" ht="18.75" x14ac:dyDescent="0.2">
      <c r="A6" s="460" t="s">
        <v>6</v>
      </c>
      <c r="B6" s="460"/>
      <c r="C6" s="460"/>
      <c r="D6" s="460"/>
      <c r="E6" s="460"/>
      <c r="F6" s="460"/>
      <c r="G6" s="460"/>
      <c r="H6" s="460"/>
      <c r="I6" s="460"/>
      <c r="J6" s="460"/>
      <c r="K6" s="460"/>
      <c r="L6" s="460"/>
      <c r="M6" s="460"/>
      <c r="N6" s="460"/>
      <c r="O6" s="460"/>
      <c r="P6" s="460"/>
      <c r="Q6" s="460"/>
      <c r="R6" s="460"/>
      <c r="S6" s="460"/>
      <c r="T6" s="12"/>
      <c r="U6" s="12"/>
      <c r="V6" s="12"/>
      <c r="W6" s="12"/>
      <c r="X6" s="12"/>
      <c r="Y6" s="12"/>
      <c r="Z6" s="12"/>
      <c r="AA6" s="12"/>
      <c r="AB6" s="12"/>
    </row>
    <row r="7" spans="1:28" s="11" customFormat="1" ht="18.75" x14ac:dyDescent="0.2">
      <c r="A7" s="460"/>
      <c r="B7" s="460"/>
      <c r="C7" s="460"/>
      <c r="D7" s="460"/>
      <c r="E7" s="460"/>
      <c r="F7" s="460"/>
      <c r="G7" s="460"/>
      <c r="H7" s="460"/>
      <c r="I7" s="460"/>
      <c r="J7" s="460"/>
      <c r="K7" s="460"/>
      <c r="L7" s="460"/>
      <c r="M7" s="460"/>
      <c r="N7" s="460"/>
      <c r="O7" s="460"/>
      <c r="P7" s="460"/>
      <c r="Q7" s="460"/>
      <c r="R7" s="460"/>
      <c r="S7" s="460"/>
      <c r="T7" s="12"/>
      <c r="U7" s="12"/>
      <c r="V7" s="12"/>
      <c r="W7" s="12"/>
      <c r="X7" s="12"/>
      <c r="Y7" s="12"/>
      <c r="Z7" s="12"/>
      <c r="AA7" s="12"/>
      <c r="AB7" s="12"/>
    </row>
    <row r="8" spans="1:28" s="11" customFormat="1" ht="18.75" x14ac:dyDescent="0.2">
      <c r="A8" s="461" t="str">
        <f>'1. паспорт местоположение'!A9:C9</f>
        <v>Акционерное общество "Россети Янтарь" ДЗО  ПАО "Россети"</v>
      </c>
      <c r="B8" s="461"/>
      <c r="C8" s="461"/>
      <c r="D8" s="461"/>
      <c r="E8" s="461"/>
      <c r="F8" s="461"/>
      <c r="G8" s="461"/>
      <c r="H8" s="461"/>
      <c r="I8" s="461"/>
      <c r="J8" s="461"/>
      <c r="K8" s="461"/>
      <c r="L8" s="461"/>
      <c r="M8" s="461"/>
      <c r="N8" s="461"/>
      <c r="O8" s="461"/>
      <c r="P8" s="461"/>
      <c r="Q8" s="461"/>
      <c r="R8" s="461"/>
      <c r="S8" s="461"/>
      <c r="T8" s="12"/>
      <c r="U8" s="12"/>
      <c r="V8" s="12"/>
      <c r="W8" s="12"/>
      <c r="X8" s="12"/>
      <c r="Y8" s="12"/>
      <c r="Z8" s="12"/>
      <c r="AA8" s="12"/>
      <c r="AB8" s="12"/>
    </row>
    <row r="9" spans="1:28" s="11" customFormat="1" ht="18.75" x14ac:dyDescent="0.2">
      <c r="A9" s="465" t="s">
        <v>5</v>
      </c>
      <c r="B9" s="465"/>
      <c r="C9" s="465"/>
      <c r="D9" s="465"/>
      <c r="E9" s="465"/>
      <c r="F9" s="465"/>
      <c r="G9" s="465"/>
      <c r="H9" s="465"/>
      <c r="I9" s="465"/>
      <c r="J9" s="465"/>
      <c r="K9" s="465"/>
      <c r="L9" s="465"/>
      <c r="M9" s="465"/>
      <c r="N9" s="465"/>
      <c r="O9" s="465"/>
      <c r="P9" s="465"/>
      <c r="Q9" s="465"/>
      <c r="R9" s="465"/>
      <c r="S9" s="465"/>
      <c r="T9" s="12"/>
      <c r="U9" s="12"/>
      <c r="V9" s="12"/>
      <c r="W9" s="12"/>
      <c r="X9" s="12"/>
      <c r="Y9" s="12"/>
      <c r="Z9" s="12"/>
      <c r="AA9" s="12"/>
      <c r="AB9" s="12"/>
    </row>
    <row r="10" spans="1:28" s="11" customFormat="1" ht="18.75" x14ac:dyDescent="0.2">
      <c r="A10" s="460"/>
      <c r="B10" s="460"/>
      <c r="C10" s="460"/>
      <c r="D10" s="460"/>
      <c r="E10" s="460"/>
      <c r="F10" s="460"/>
      <c r="G10" s="460"/>
      <c r="H10" s="460"/>
      <c r="I10" s="460"/>
      <c r="J10" s="460"/>
      <c r="K10" s="460"/>
      <c r="L10" s="460"/>
      <c r="M10" s="460"/>
      <c r="N10" s="460"/>
      <c r="O10" s="460"/>
      <c r="P10" s="460"/>
      <c r="Q10" s="460"/>
      <c r="R10" s="460"/>
      <c r="S10" s="460"/>
      <c r="T10" s="12"/>
      <c r="U10" s="12"/>
      <c r="V10" s="12"/>
      <c r="W10" s="12"/>
      <c r="X10" s="12"/>
      <c r="Y10" s="12"/>
      <c r="Z10" s="12"/>
      <c r="AA10" s="12"/>
      <c r="AB10" s="12"/>
    </row>
    <row r="11" spans="1:28" s="11" customFormat="1" ht="18.75" x14ac:dyDescent="0.2">
      <c r="A11" s="461" t="str">
        <f>'1. паспорт местоположение'!A12:C12</f>
        <v>N_22-1297</v>
      </c>
      <c r="B11" s="461"/>
      <c r="C11" s="461"/>
      <c r="D11" s="461"/>
      <c r="E11" s="461"/>
      <c r="F11" s="461"/>
      <c r="G11" s="461"/>
      <c r="H11" s="461"/>
      <c r="I11" s="461"/>
      <c r="J11" s="461"/>
      <c r="K11" s="461"/>
      <c r="L11" s="461"/>
      <c r="M11" s="461"/>
      <c r="N11" s="461"/>
      <c r="O11" s="461"/>
      <c r="P11" s="461"/>
      <c r="Q11" s="461"/>
      <c r="R11" s="461"/>
      <c r="S11" s="461"/>
      <c r="T11" s="12"/>
      <c r="U11" s="12"/>
      <c r="V11" s="12"/>
      <c r="W11" s="12"/>
      <c r="X11" s="12"/>
      <c r="Y11" s="12"/>
      <c r="Z11" s="12"/>
      <c r="AA11" s="12"/>
      <c r="AB11" s="12"/>
    </row>
    <row r="12" spans="1:28" s="11" customFormat="1" ht="18.75" x14ac:dyDescent="0.2">
      <c r="A12" s="465" t="s">
        <v>4</v>
      </c>
      <c r="B12" s="465"/>
      <c r="C12" s="465"/>
      <c r="D12" s="465"/>
      <c r="E12" s="465"/>
      <c r="F12" s="465"/>
      <c r="G12" s="465"/>
      <c r="H12" s="465"/>
      <c r="I12" s="465"/>
      <c r="J12" s="465"/>
      <c r="K12" s="465"/>
      <c r="L12" s="465"/>
      <c r="M12" s="465"/>
      <c r="N12" s="465"/>
      <c r="O12" s="465"/>
      <c r="P12" s="465"/>
      <c r="Q12" s="465"/>
      <c r="R12" s="465"/>
      <c r="S12" s="465"/>
      <c r="T12" s="12"/>
      <c r="U12" s="12"/>
      <c r="V12" s="12"/>
      <c r="W12" s="12"/>
      <c r="X12" s="12"/>
      <c r="Y12" s="12"/>
      <c r="Z12" s="12"/>
      <c r="AA12" s="12"/>
      <c r="AB12" s="12"/>
    </row>
    <row r="13" spans="1:28" s="8" customFormat="1" ht="15.75" customHeight="1" x14ac:dyDescent="0.2">
      <c r="A13" s="466"/>
      <c r="B13" s="466"/>
      <c r="C13" s="466"/>
      <c r="D13" s="466"/>
      <c r="E13" s="466"/>
      <c r="F13" s="466"/>
      <c r="G13" s="466"/>
      <c r="H13" s="466"/>
      <c r="I13" s="466"/>
      <c r="J13" s="466"/>
      <c r="K13" s="466"/>
      <c r="L13" s="466"/>
      <c r="M13" s="466"/>
      <c r="N13" s="466"/>
      <c r="O13" s="466"/>
      <c r="P13" s="466"/>
      <c r="Q13" s="466"/>
      <c r="R13" s="466"/>
      <c r="S13" s="466"/>
      <c r="T13" s="9"/>
      <c r="U13" s="9"/>
      <c r="V13" s="9"/>
      <c r="W13" s="9"/>
      <c r="X13" s="9"/>
      <c r="Y13" s="9"/>
      <c r="Z13" s="9"/>
      <c r="AA13" s="9"/>
      <c r="AB13" s="9"/>
    </row>
    <row r="14" spans="1:28" s="3" customFormat="1" ht="12" x14ac:dyDescent="0.2">
      <c r="A14" s="461" t="str">
        <f>'1. паспорт местоположение'!A9:C9</f>
        <v>Акционерное общество "Россети Янтарь" ДЗО  ПАО "Россети"</v>
      </c>
      <c r="B14" s="461"/>
      <c r="C14" s="461"/>
      <c r="D14" s="461"/>
      <c r="E14" s="461"/>
      <c r="F14" s="461"/>
      <c r="G14" s="461"/>
      <c r="H14" s="461"/>
      <c r="I14" s="461"/>
      <c r="J14" s="461"/>
      <c r="K14" s="461"/>
      <c r="L14" s="461"/>
      <c r="M14" s="461"/>
      <c r="N14" s="461"/>
      <c r="O14" s="461"/>
      <c r="P14" s="461"/>
      <c r="Q14" s="461"/>
      <c r="R14" s="461"/>
      <c r="S14" s="461"/>
      <c r="T14" s="7"/>
      <c r="U14" s="7"/>
      <c r="V14" s="7"/>
      <c r="W14" s="7"/>
      <c r="X14" s="7"/>
      <c r="Y14" s="7"/>
      <c r="Z14" s="7"/>
      <c r="AA14" s="7"/>
      <c r="AB14" s="7"/>
    </row>
    <row r="15" spans="1:28" s="3" customFormat="1" ht="28.5" customHeight="1" x14ac:dyDescent="0.25">
      <c r="A15" s="467" t="str">
        <f>'1. паспорт местоположение'!A15:C15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467"/>
      <c r="C15" s="467"/>
      <c r="D15" s="467"/>
      <c r="E15" s="467"/>
      <c r="F15" s="467"/>
      <c r="G15" s="467"/>
      <c r="H15" s="467"/>
      <c r="I15" s="467"/>
      <c r="J15" s="467"/>
      <c r="K15" s="467"/>
      <c r="L15" s="467"/>
      <c r="M15" s="467"/>
      <c r="N15" s="467"/>
      <c r="O15" s="467"/>
      <c r="P15" s="467"/>
      <c r="Q15" s="467"/>
      <c r="R15" s="467"/>
      <c r="S15" s="467"/>
      <c r="T15" s="5"/>
      <c r="U15" s="5"/>
      <c r="V15" s="5"/>
      <c r="W15" s="5"/>
      <c r="X15" s="5"/>
      <c r="Y15" s="5"/>
      <c r="Z15" s="5"/>
      <c r="AA15" s="5"/>
      <c r="AB15" s="5"/>
    </row>
    <row r="16" spans="1:28" s="3" customFormat="1" ht="15" customHeight="1" x14ac:dyDescent="0.2">
      <c r="A16" s="468"/>
      <c r="B16" s="468"/>
      <c r="C16" s="468"/>
      <c r="D16" s="468"/>
      <c r="E16" s="468"/>
      <c r="F16" s="468"/>
      <c r="G16" s="468"/>
      <c r="H16" s="468"/>
      <c r="I16" s="468"/>
      <c r="J16" s="468"/>
      <c r="K16" s="468"/>
      <c r="L16" s="468"/>
      <c r="M16" s="468"/>
      <c r="N16" s="468"/>
      <c r="O16" s="468"/>
      <c r="P16" s="468"/>
      <c r="Q16" s="468"/>
      <c r="R16" s="468"/>
      <c r="S16" s="468"/>
      <c r="T16" s="4"/>
      <c r="U16" s="4"/>
      <c r="V16" s="4"/>
      <c r="W16" s="4"/>
      <c r="X16" s="4"/>
      <c r="Y16" s="4"/>
    </row>
    <row r="17" spans="1:28" s="3" customFormat="1" ht="45.75" customHeight="1" x14ac:dyDescent="0.2">
      <c r="A17" s="469" t="s">
        <v>416</v>
      </c>
      <c r="B17" s="469"/>
      <c r="C17" s="469"/>
      <c r="D17" s="469"/>
      <c r="E17" s="469"/>
      <c r="F17" s="469"/>
      <c r="G17" s="469"/>
      <c r="H17" s="469"/>
      <c r="I17" s="469"/>
      <c r="J17" s="469"/>
      <c r="K17" s="469"/>
      <c r="L17" s="469"/>
      <c r="M17" s="469"/>
      <c r="N17" s="469"/>
      <c r="O17" s="469"/>
      <c r="P17" s="469"/>
      <c r="Q17" s="469"/>
      <c r="R17" s="469"/>
      <c r="S17" s="469"/>
      <c r="T17" s="6"/>
      <c r="U17" s="6"/>
      <c r="V17" s="6"/>
      <c r="W17" s="6"/>
      <c r="X17" s="6"/>
      <c r="Y17" s="6"/>
      <c r="Z17" s="6"/>
      <c r="AA17" s="6"/>
      <c r="AB17" s="6"/>
    </row>
    <row r="18" spans="1:28" s="3" customFormat="1" ht="15" customHeight="1" x14ac:dyDescent="0.2">
      <c r="A18" s="470"/>
      <c r="B18" s="470"/>
      <c r="C18" s="470"/>
      <c r="D18" s="470"/>
      <c r="E18" s="470"/>
      <c r="F18" s="470"/>
      <c r="G18" s="470"/>
      <c r="H18" s="470"/>
      <c r="I18" s="470"/>
      <c r="J18" s="470"/>
      <c r="K18" s="470"/>
      <c r="L18" s="470"/>
      <c r="M18" s="470"/>
      <c r="N18" s="470"/>
      <c r="O18" s="470"/>
      <c r="P18" s="470"/>
      <c r="Q18" s="470"/>
      <c r="R18" s="470"/>
      <c r="S18" s="470"/>
      <c r="T18" s="4"/>
      <c r="U18" s="4"/>
      <c r="V18" s="4"/>
      <c r="W18" s="4"/>
      <c r="X18" s="4"/>
      <c r="Y18" s="4"/>
    </row>
    <row r="19" spans="1:28" s="3" customFormat="1" ht="54" customHeight="1" x14ac:dyDescent="0.2">
      <c r="A19" s="459" t="s">
        <v>2</v>
      </c>
      <c r="B19" s="459" t="s">
        <v>93</v>
      </c>
      <c r="C19" s="462" t="s">
        <v>310</v>
      </c>
      <c r="D19" s="459" t="s">
        <v>309</v>
      </c>
      <c r="E19" s="459" t="s">
        <v>92</v>
      </c>
      <c r="F19" s="459" t="s">
        <v>91</v>
      </c>
      <c r="G19" s="459" t="s">
        <v>305</v>
      </c>
      <c r="H19" s="459" t="s">
        <v>90</v>
      </c>
      <c r="I19" s="459" t="s">
        <v>89</v>
      </c>
      <c r="J19" s="459" t="s">
        <v>88</v>
      </c>
      <c r="K19" s="459" t="s">
        <v>87</v>
      </c>
      <c r="L19" s="459" t="s">
        <v>86</v>
      </c>
      <c r="M19" s="459" t="s">
        <v>85</v>
      </c>
      <c r="N19" s="459" t="s">
        <v>84</v>
      </c>
      <c r="O19" s="459" t="s">
        <v>83</v>
      </c>
      <c r="P19" s="459" t="s">
        <v>82</v>
      </c>
      <c r="Q19" s="459" t="s">
        <v>308</v>
      </c>
      <c r="R19" s="459"/>
      <c r="S19" s="464" t="s">
        <v>410</v>
      </c>
      <c r="T19" s="4"/>
      <c r="U19" s="4"/>
      <c r="V19" s="4"/>
      <c r="W19" s="4"/>
      <c r="X19" s="4"/>
      <c r="Y19" s="4"/>
    </row>
    <row r="20" spans="1:28" s="3" customFormat="1" ht="180.75" customHeight="1" x14ac:dyDescent="0.2">
      <c r="A20" s="459"/>
      <c r="B20" s="459"/>
      <c r="C20" s="463"/>
      <c r="D20" s="459"/>
      <c r="E20" s="459"/>
      <c r="F20" s="459"/>
      <c r="G20" s="459"/>
      <c r="H20" s="459"/>
      <c r="I20" s="459"/>
      <c r="J20" s="459"/>
      <c r="K20" s="459"/>
      <c r="L20" s="459"/>
      <c r="M20" s="459"/>
      <c r="N20" s="459"/>
      <c r="O20" s="459"/>
      <c r="P20" s="459"/>
      <c r="Q20" s="34" t="s">
        <v>306</v>
      </c>
      <c r="R20" s="35" t="s">
        <v>307</v>
      </c>
      <c r="S20" s="464"/>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0">
        <v>1</v>
      </c>
      <c r="B22" s="249"/>
      <c r="C22" s="240"/>
      <c r="D22" s="248"/>
      <c r="E22" s="249"/>
      <c r="F22" s="248"/>
      <c r="G22" s="249"/>
      <c r="H22" s="248"/>
      <c r="I22" s="249"/>
      <c r="J22" s="248"/>
      <c r="K22" s="249"/>
      <c r="L22" s="248"/>
      <c r="M22" s="249"/>
      <c r="N22" s="248"/>
      <c r="O22" s="249"/>
      <c r="P22" s="248"/>
      <c r="Q22" s="271"/>
      <c r="R22" s="250"/>
      <c r="S22" s="270"/>
      <c r="W22" s="27"/>
      <c r="X22" s="27"/>
      <c r="Y22" s="27"/>
      <c r="Z22" s="26"/>
      <c r="AA22" s="26"/>
      <c r="AB22" s="26"/>
    </row>
    <row r="23" spans="1:28" ht="20.25" customHeight="1" x14ac:dyDescent="0.25">
      <c r="A23" s="67"/>
      <c r="B23" s="37" t="s">
        <v>303</v>
      </c>
      <c r="C23" s="37"/>
      <c r="D23" s="37"/>
      <c r="E23" s="67" t="s">
        <v>304</v>
      </c>
      <c r="F23" s="67" t="s">
        <v>304</v>
      </c>
      <c r="G23" s="67" t="s">
        <v>304</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election activeCell="O25" sqref="O25"/>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1" t="str">
        <f>'1. паспорт местоположение'!A5:C5</f>
        <v>Год раскрытия информации: 2025 год</v>
      </c>
      <c r="B6" s="451"/>
      <c r="C6" s="451"/>
      <c r="D6" s="451"/>
      <c r="E6" s="451"/>
      <c r="F6" s="451"/>
      <c r="G6" s="451"/>
      <c r="H6" s="451"/>
      <c r="I6" s="451"/>
      <c r="J6" s="451"/>
      <c r="K6" s="451"/>
      <c r="L6" s="451"/>
      <c r="M6" s="451"/>
      <c r="N6" s="451"/>
      <c r="O6" s="451"/>
      <c r="P6" s="451"/>
      <c r="Q6" s="451"/>
      <c r="R6" s="451"/>
      <c r="S6" s="451"/>
      <c r="T6" s="451"/>
    </row>
    <row r="7" spans="1:20" s="11" customFormat="1" x14ac:dyDescent="0.2">
      <c r="A7" s="16"/>
      <c r="H7" s="15"/>
    </row>
    <row r="8" spans="1:20" s="11" customFormat="1" ht="18.75" x14ac:dyDescent="0.2">
      <c r="A8" s="460" t="s">
        <v>6</v>
      </c>
      <c r="B8" s="460"/>
      <c r="C8" s="460"/>
      <c r="D8" s="460"/>
      <c r="E8" s="460"/>
      <c r="F8" s="460"/>
      <c r="G8" s="460"/>
      <c r="H8" s="460"/>
      <c r="I8" s="460"/>
      <c r="J8" s="460"/>
      <c r="K8" s="460"/>
      <c r="L8" s="460"/>
      <c r="M8" s="460"/>
      <c r="N8" s="460"/>
      <c r="O8" s="460"/>
      <c r="P8" s="460"/>
      <c r="Q8" s="460"/>
      <c r="R8" s="460"/>
      <c r="S8" s="460"/>
      <c r="T8" s="460"/>
    </row>
    <row r="9" spans="1:20" s="11" customFormat="1" ht="18.75" x14ac:dyDescent="0.2">
      <c r="A9" s="460"/>
      <c r="B9" s="460"/>
      <c r="C9" s="460"/>
      <c r="D9" s="460"/>
      <c r="E9" s="460"/>
      <c r="F9" s="460"/>
      <c r="G9" s="460"/>
      <c r="H9" s="460"/>
      <c r="I9" s="460"/>
      <c r="J9" s="460"/>
      <c r="K9" s="460"/>
      <c r="L9" s="460"/>
      <c r="M9" s="460"/>
      <c r="N9" s="460"/>
      <c r="O9" s="460"/>
      <c r="P9" s="460"/>
      <c r="Q9" s="460"/>
      <c r="R9" s="460"/>
      <c r="S9" s="460"/>
      <c r="T9" s="460"/>
    </row>
    <row r="10" spans="1:20" s="11" customFormat="1" ht="18.75" customHeight="1" x14ac:dyDescent="0.2">
      <c r="A10" s="461" t="str">
        <f>'1. паспорт местоположение'!A9:C9</f>
        <v>Акционерное общество "Россети Янтарь" ДЗО  ПАО "Россети"</v>
      </c>
      <c r="B10" s="461"/>
      <c r="C10" s="461"/>
      <c r="D10" s="461"/>
      <c r="E10" s="461"/>
      <c r="F10" s="461"/>
      <c r="G10" s="461"/>
      <c r="H10" s="461"/>
      <c r="I10" s="461"/>
      <c r="J10" s="461"/>
      <c r="K10" s="461"/>
      <c r="L10" s="461"/>
      <c r="M10" s="461"/>
      <c r="N10" s="461"/>
      <c r="O10" s="461"/>
      <c r="P10" s="461"/>
      <c r="Q10" s="461"/>
      <c r="R10" s="461"/>
      <c r="S10" s="461"/>
      <c r="T10" s="461"/>
    </row>
    <row r="11" spans="1:20" s="11" customFormat="1" ht="18.75" customHeight="1" x14ac:dyDescent="0.2">
      <c r="A11" s="465" t="s">
        <v>5</v>
      </c>
      <c r="B11" s="465"/>
      <c r="C11" s="465"/>
      <c r="D11" s="465"/>
      <c r="E11" s="465"/>
      <c r="F11" s="465"/>
      <c r="G11" s="465"/>
      <c r="H11" s="465"/>
      <c r="I11" s="465"/>
      <c r="J11" s="465"/>
      <c r="K11" s="465"/>
      <c r="L11" s="465"/>
      <c r="M11" s="465"/>
      <c r="N11" s="465"/>
      <c r="O11" s="465"/>
      <c r="P11" s="465"/>
      <c r="Q11" s="465"/>
      <c r="R11" s="465"/>
      <c r="S11" s="465"/>
      <c r="T11" s="465"/>
    </row>
    <row r="12" spans="1:20" s="11" customFormat="1" ht="18.75" x14ac:dyDescent="0.2">
      <c r="A12" s="460"/>
      <c r="B12" s="460"/>
      <c r="C12" s="460"/>
      <c r="D12" s="460"/>
      <c r="E12" s="460"/>
      <c r="F12" s="460"/>
      <c r="G12" s="460"/>
      <c r="H12" s="460"/>
      <c r="I12" s="460"/>
      <c r="J12" s="460"/>
      <c r="K12" s="460"/>
      <c r="L12" s="460"/>
      <c r="M12" s="460"/>
      <c r="N12" s="460"/>
      <c r="O12" s="460"/>
      <c r="P12" s="460"/>
      <c r="Q12" s="460"/>
      <c r="R12" s="460"/>
      <c r="S12" s="460"/>
      <c r="T12" s="460"/>
    </row>
    <row r="13" spans="1:20" s="11" customFormat="1" ht="18.75" customHeight="1" x14ac:dyDescent="0.2">
      <c r="A13" s="461" t="str">
        <f>'1. паспорт местоположение'!A12:C12</f>
        <v>N_22-1297</v>
      </c>
      <c r="B13" s="461"/>
      <c r="C13" s="461"/>
      <c r="D13" s="461"/>
      <c r="E13" s="461"/>
      <c r="F13" s="461"/>
      <c r="G13" s="461"/>
      <c r="H13" s="461"/>
      <c r="I13" s="461"/>
      <c r="J13" s="461"/>
      <c r="K13" s="461"/>
      <c r="L13" s="461"/>
      <c r="M13" s="461"/>
      <c r="N13" s="461"/>
      <c r="O13" s="461"/>
      <c r="P13" s="461"/>
      <c r="Q13" s="461"/>
      <c r="R13" s="461"/>
      <c r="S13" s="461"/>
      <c r="T13" s="461"/>
    </row>
    <row r="14" spans="1:20" s="11" customFormat="1" ht="18.75" customHeight="1" x14ac:dyDescent="0.2">
      <c r="A14" s="465" t="s">
        <v>4</v>
      </c>
      <c r="B14" s="465"/>
      <c r="C14" s="465"/>
      <c r="D14" s="465"/>
      <c r="E14" s="465"/>
      <c r="F14" s="465"/>
      <c r="G14" s="465"/>
      <c r="H14" s="465"/>
      <c r="I14" s="465"/>
      <c r="J14" s="465"/>
      <c r="K14" s="465"/>
      <c r="L14" s="465"/>
      <c r="M14" s="465"/>
      <c r="N14" s="465"/>
      <c r="O14" s="465"/>
      <c r="P14" s="465"/>
      <c r="Q14" s="465"/>
      <c r="R14" s="465"/>
      <c r="S14" s="465"/>
      <c r="T14" s="465"/>
    </row>
    <row r="15" spans="1:20" s="8" customFormat="1" ht="15.75" customHeight="1" x14ac:dyDescent="0.2">
      <c r="A15" s="466"/>
      <c r="B15" s="466"/>
      <c r="C15" s="466"/>
      <c r="D15" s="466"/>
      <c r="E15" s="466"/>
      <c r="F15" s="466"/>
      <c r="G15" s="466"/>
      <c r="H15" s="466"/>
      <c r="I15" s="466"/>
      <c r="J15" s="466"/>
      <c r="K15" s="466"/>
      <c r="L15" s="466"/>
      <c r="M15" s="466"/>
      <c r="N15" s="466"/>
      <c r="O15" s="466"/>
      <c r="P15" s="466"/>
      <c r="Q15" s="466"/>
      <c r="R15" s="466"/>
      <c r="S15" s="466"/>
      <c r="T15" s="466"/>
    </row>
    <row r="16" spans="1:20" s="3" customFormat="1" ht="37.5" customHeight="1" x14ac:dyDescent="0.2">
      <c r="A16" s="485"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6" s="485"/>
      <c r="C16" s="485"/>
      <c r="D16" s="485"/>
      <c r="E16" s="485"/>
      <c r="F16" s="485"/>
      <c r="G16" s="485"/>
      <c r="H16" s="485"/>
      <c r="I16" s="485"/>
      <c r="J16" s="485"/>
      <c r="K16" s="485"/>
      <c r="L16" s="485"/>
      <c r="M16" s="485"/>
      <c r="N16" s="485"/>
      <c r="O16" s="485"/>
      <c r="P16" s="485"/>
      <c r="Q16" s="485"/>
      <c r="R16" s="485"/>
      <c r="S16" s="485"/>
      <c r="T16" s="485"/>
    </row>
    <row r="17" spans="1:113" s="3" customFormat="1" ht="15" customHeight="1" x14ac:dyDescent="0.2">
      <c r="A17" s="465" t="s">
        <v>3</v>
      </c>
      <c r="B17" s="465"/>
      <c r="C17" s="465"/>
      <c r="D17" s="465"/>
      <c r="E17" s="465"/>
      <c r="F17" s="465"/>
      <c r="G17" s="465"/>
      <c r="H17" s="465"/>
      <c r="I17" s="465"/>
      <c r="J17" s="465"/>
      <c r="K17" s="465"/>
      <c r="L17" s="465"/>
      <c r="M17" s="465"/>
      <c r="N17" s="465"/>
      <c r="O17" s="465"/>
      <c r="P17" s="465"/>
      <c r="Q17" s="465"/>
      <c r="R17" s="465"/>
      <c r="S17" s="465"/>
      <c r="T17" s="465"/>
    </row>
    <row r="18" spans="1:113" s="3" customFormat="1" ht="15" customHeight="1" x14ac:dyDescent="0.2">
      <c r="A18" s="468"/>
      <c r="B18" s="468"/>
      <c r="C18" s="468"/>
      <c r="D18" s="468"/>
      <c r="E18" s="468"/>
      <c r="F18" s="468"/>
      <c r="G18" s="468"/>
      <c r="H18" s="468"/>
      <c r="I18" s="468"/>
      <c r="J18" s="468"/>
      <c r="K18" s="468"/>
      <c r="L18" s="468"/>
      <c r="M18" s="468"/>
      <c r="N18" s="468"/>
      <c r="O18" s="468"/>
      <c r="P18" s="468"/>
      <c r="Q18" s="468"/>
      <c r="R18" s="468"/>
      <c r="S18" s="468"/>
      <c r="T18" s="468"/>
    </row>
    <row r="19" spans="1:113" s="3" customFormat="1" ht="15" customHeight="1" x14ac:dyDescent="0.2">
      <c r="A19" s="486" t="s">
        <v>421</v>
      </c>
      <c r="B19" s="486"/>
      <c r="C19" s="486"/>
      <c r="D19" s="486"/>
      <c r="E19" s="486"/>
      <c r="F19" s="486"/>
      <c r="G19" s="486"/>
      <c r="H19" s="486"/>
      <c r="I19" s="486"/>
      <c r="J19" s="486"/>
      <c r="K19" s="486"/>
      <c r="L19" s="486"/>
      <c r="M19" s="486"/>
      <c r="N19" s="486"/>
      <c r="O19" s="486"/>
      <c r="P19" s="486"/>
      <c r="Q19" s="486"/>
      <c r="R19" s="486"/>
      <c r="S19" s="486"/>
      <c r="T19" s="486"/>
    </row>
    <row r="20" spans="1:113" s="46" customFormat="1" ht="21" customHeight="1" x14ac:dyDescent="0.25">
      <c r="A20" s="487"/>
      <c r="B20" s="487"/>
      <c r="C20" s="487"/>
      <c r="D20" s="487"/>
      <c r="E20" s="487"/>
      <c r="F20" s="487"/>
      <c r="G20" s="487"/>
      <c r="H20" s="487"/>
      <c r="I20" s="487"/>
      <c r="J20" s="487"/>
      <c r="K20" s="487"/>
      <c r="L20" s="487"/>
      <c r="M20" s="487"/>
      <c r="N20" s="487"/>
      <c r="O20" s="487"/>
      <c r="P20" s="487"/>
      <c r="Q20" s="487"/>
      <c r="R20" s="487"/>
      <c r="S20" s="487"/>
      <c r="T20" s="487"/>
    </row>
    <row r="21" spans="1:113" ht="46.5" customHeight="1" x14ac:dyDescent="0.25">
      <c r="A21" s="479" t="s">
        <v>2</v>
      </c>
      <c r="B21" s="472" t="s">
        <v>217</v>
      </c>
      <c r="C21" s="473"/>
      <c r="D21" s="476" t="s">
        <v>115</v>
      </c>
      <c r="E21" s="472" t="s">
        <v>450</v>
      </c>
      <c r="F21" s="473"/>
      <c r="G21" s="472" t="s">
        <v>236</v>
      </c>
      <c r="H21" s="473"/>
      <c r="I21" s="472" t="s">
        <v>114</v>
      </c>
      <c r="J21" s="473"/>
      <c r="K21" s="476" t="s">
        <v>113</v>
      </c>
      <c r="L21" s="472" t="s">
        <v>112</v>
      </c>
      <c r="M21" s="473"/>
      <c r="N21" s="472" t="s">
        <v>446</v>
      </c>
      <c r="O21" s="473"/>
      <c r="P21" s="476" t="s">
        <v>111</v>
      </c>
      <c r="Q21" s="482" t="s">
        <v>110</v>
      </c>
      <c r="R21" s="483"/>
      <c r="S21" s="482" t="s">
        <v>109</v>
      </c>
      <c r="T21" s="484"/>
    </row>
    <row r="22" spans="1:113" ht="204.75" customHeight="1" x14ac:dyDescent="0.25">
      <c r="A22" s="480"/>
      <c r="B22" s="474"/>
      <c r="C22" s="475"/>
      <c r="D22" s="478"/>
      <c r="E22" s="474"/>
      <c r="F22" s="475"/>
      <c r="G22" s="474"/>
      <c r="H22" s="475"/>
      <c r="I22" s="474"/>
      <c r="J22" s="475"/>
      <c r="K22" s="477"/>
      <c r="L22" s="474"/>
      <c r="M22" s="475"/>
      <c r="N22" s="474"/>
      <c r="O22" s="475"/>
      <c r="P22" s="477"/>
      <c r="Q22" s="61" t="s">
        <v>108</v>
      </c>
      <c r="R22" s="61" t="s">
        <v>420</v>
      </c>
      <c r="S22" s="61" t="s">
        <v>107</v>
      </c>
      <c r="T22" s="61" t="s">
        <v>106</v>
      </c>
    </row>
    <row r="23" spans="1:113" ht="51.75" customHeight="1" x14ac:dyDescent="0.25">
      <c r="A23" s="481"/>
      <c r="B23" s="101" t="s">
        <v>104</v>
      </c>
      <c r="C23" s="101" t="s">
        <v>105</v>
      </c>
      <c r="D23" s="477"/>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ht="102" customHeight="1" x14ac:dyDescent="0.25">
      <c r="A25" s="275">
        <v>1</v>
      </c>
      <c r="B25" s="273" t="s">
        <v>304</v>
      </c>
      <c r="C25" s="273" t="s">
        <v>527</v>
      </c>
      <c r="D25" s="273" t="s">
        <v>513</v>
      </c>
      <c r="E25" s="273" t="s">
        <v>304</v>
      </c>
      <c r="F25" s="273" t="s">
        <v>514</v>
      </c>
      <c r="G25" s="273" t="s">
        <v>304</v>
      </c>
      <c r="H25" s="273" t="s">
        <v>515</v>
      </c>
      <c r="I25" s="273" t="s">
        <v>304</v>
      </c>
      <c r="J25" s="274" t="s">
        <v>533</v>
      </c>
      <c r="K25" s="274" t="s">
        <v>304</v>
      </c>
      <c r="L25" s="274" t="s">
        <v>304</v>
      </c>
      <c r="M25" s="275">
        <v>15</v>
      </c>
      <c r="N25" s="275" t="s">
        <v>304</v>
      </c>
      <c r="O25" s="277">
        <v>6.3E-2</v>
      </c>
      <c r="P25" s="274" t="s">
        <v>304</v>
      </c>
      <c r="Q25" s="276" t="s">
        <v>304</v>
      </c>
      <c r="R25" s="273" t="s">
        <v>304</v>
      </c>
      <c r="S25" s="300" t="s">
        <v>304</v>
      </c>
      <c r="T25" s="273" t="s">
        <v>304</v>
      </c>
    </row>
    <row r="26" spans="1:113" ht="12.75" customHeight="1" x14ac:dyDescent="0.25">
      <c r="S26" s="296"/>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71" t="s">
        <v>456</v>
      </c>
      <c r="C29" s="471"/>
      <c r="D29" s="471"/>
      <c r="E29" s="471"/>
      <c r="F29" s="471"/>
      <c r="G29" s="471"/>
      <c r="H29" s="471"/>
      <c r="I29" s="471"/>
      <c r="J29" s="471"/>
      <c r="K29" s="471"/>
      <c r="L29" s="471"/>
      <c r="M29" s="471"/>
      <c r="N29" s="471"/>
      <c r="O29" s="471"/>
      <c r="P29" s="471"/>
      <c r="Q29" s="471"/>
      <c r="R29" s="47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A19" zoomScale="70" zoomScaleSheetLayoutView="70" workbookViewId="0">
      <selection activeCell="J25" sqref="J25:J26"/>
    </sheetView>
  </sheetViews>
  <sheetFormatPr defaultColWidth="10.7109375" defaultRowHeight="15.75" x14ac:dyDescent="0.25"/>
  <cols>
    <col min="1" max="1" width="10.7109375" style="38"/>
    <col min="2" max="3" width="17.5703125" style="38" customWidth="1"/>
    <col min="4" max="5" width="22.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3.28515625" style="38" customWidth="1"/>
    <col min="26" max="26" width="18.5703125" style="38" customWidth="1"/>
    <col min="27" max="27" width="29.42578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1" t="str">
        <f>'1. паспорт местоположение'!A5:C5</f>
        <v>Год раскрытия информации: 2025 год</v>
      </c>
      <c r="B5" s="451"/>
      <c r="C5" s="451"/>
      <c r="D5" s="451"/>
      <c r="E5" s="451"/>
      <c r="F5" s="451"/>
      <c r="G5" s="451"/>
      <c r="H5" s="451"/>
      <c r="I5" s="451"/>
      <c r="J5" s="451"/>
      <c r="K5" s="451"/>
      <c r="L5" s="451"/>
      <c r="M5" s="451"/>
      <c r="N5" s="451"/>
      <c r="O5" s="451"/>
      <c r="P5" s="451"/>
      <c r="Q5" s="451"/>
      <c r="R5" s="451"/>
      <c r="S5" s="451"/>
      <c r="T5" s="451"/>
      <c r="U5" s="451"/>
      <c r="V5" s="451"/>
      <c r="W5" s="451"/>
      <c r="X5" s="451"/>
      <c r="Y5" s="451"/>
      <c r="Z5" s="451"/>
      <c r="AA5" s="451"/>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60" t="s">
        <v>6</v>
      </c>
      <c r="F7" s="460"/>
      <c r="G7" s="460"/>
      <c r="H7" s="460"/>
      <c r="I7" s="460"/>
      <c r="J7" s="460"/>
      <c r="K7" s="460"/>
      <c r="L7" s="460"/>
      <c r="M7" s="460"/>
      <c r="N7" s="460"/>
      <c r="O7" s="460"/>
      <c r="P7" s="460"/>
      <c r="Q7" s="460"/>
      <c r="R7" s="460"/>
      <c r="S7" s="460"/>
      <c r="T7" s="460"/>
      <c r="U7" s="460"/>
      <c r="V7" s="460"/>
      <c r="W7" s="460"/>
      <c r="X7" s="460"/>
      <c r="Y7" s="46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1" t="str">
        <f>'1. паспорт местоположение'!A9</f>
        <v>Акционерное общество "Россети Янтарь" ДЗО  ПАО "Россети"</v>
      </c>
      <c r="F9" s="461"/>
      <c r="G9" s="461"/>
      <c r="H9" s="461"/>
      <c r="I9" s="461"/>
      <c r="J9" s="461"/>
      <c r="K9" s="461"/>
      <c r="L9" s="461"/>
      <c r="M9" s="461"/>
      <c r="N9" s="461"/>
      <c r="O9" s="461"/>
      <c r="P9" s="461"/>
      <c r="Q9" s="461"/>
      <c r="R9" s="461"/>
      <c r="S9" s="461"/>
      <c r="T9" s="461"/>
      <c r="U9" s="461"/>
      <c r="V9" s="461"/>
      <c r="W9" s="461"/>
      <c r="X9" s="461"/>
      <c r="Y9" s="461"/>
    </row>
    <row r="10" spans="1:27" s="11" customFormat="1" ht="18.75" customHeight="1" x14ac:dyDescent="0.2">
      <c r="E10" s="465" t="s">
        <v>5</v>
      </c>
      <c r="F10" s="465"/>
      <c r="G10" s="465"/>
      <c r="H10" s="465"/>
      <c r="I10" s="465"/>
      <c r="J10" s="465"/>
      <c r="K10" s="465"/>
      <c r="L10" s="465"/>
      <c r="M10" s="465"/>
      <c r="N10" s="465"/>
      <c r="O10" s="465"/>
      <c r="P10" s="465"/>
      <c r="Q10" s="465"/>
      <c r="R10" s="465"/>
      <c r="S10" s="465"/>
      <c r="T10" s="465"/>
      <c r="U10" s="465"/>
      <c r="V10" s="465"/>
      <c r="W10" s="465"/>
      <c r="X10" s="465"/>
      <c r="Y10" s="46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1" t="str">
        <f>'1. паспорт местоположение'!A12</f>
        <v>N_22-1297</v>
      </c>
      <c r="F12" s="461"/>
      <c r="G12" s="461"/>
      <c r="H12" s="461"/>
      <c r="I12" s="461"/>
      <c r="J12" s="461"/>
      <c r="K12" s="461"/>
      <c r="L12" s="461"/>
      <c r="M12" s="461"/>
      <c r="N12" s="461"/>
      <c r="O12" s="461"/>
      <c r="P12" s="461"/>
      <c r="Q12" s="461"/>
      <c r="R12" s="461"/>
      <c r="S12" s="461"/>
      <c r="T12" s="461"/>
      <c r="U12" s="461"/>
      <c r="V12" s="461"/>
      <c r="W12" s="461"/>
      <c r="X12" s="461"/>
      <c r="Y12" s="461"/>
    </row>
    <row r="13" spans="1:27" s="11" customFormat="1" ht="18.75" customHeight="1" x14ac:dyDescent="0.2">
      <c r="E13" s="465" t="s">
        <v>4</v>
      </c>
      <c r="F13" s="465"/>
      <c r="G13" s="465"/>
      <c r="H13" s="465"/>
      <c r="I13" s="465"/>
      <c r="J13" s="465"/>
      <c r="K13" s="465"/>
      <c r="L13" s="465"/>
      <c r="M13" s="465"/>
      <c r="N13" s="465"/>
      <c r="O13" s="465"/>
      <c r="P13" s="465"/>
      <c r="Q13" s="465"/>
      <c r="R13" s="465"/>
      <c r="S13" s="465"/>
      <c r="T13" s="465"/>
      <c r="U13" s="465"/>
      <c r="V13" s="465"/>
      <c r="W13" s="465"/>
      <c r="X13" s="465"/>
      <c r="Y13" s="46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95"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F15" s="495"/>
      <c r="G15" s="495"/>
      <c r="H15" s="495"/>
      <c r="I15" s="495"/>
      <c r="J15" s="495"/>
      <c r="K15" s="495"/>
      <c r="L15" s="495"/>
      <c r="M15" s="495"/>
      <c r="N15" s="495"/>
      <c r="O15" s="495"/>
      <c r="P15" s="495"/>
      <c r="Q15" s="495"/>
      <c r="R15" s="495"/>
      <c r="S15" s="495"/>
      <c r="T15" s="495"/>
      <c r="U15" s="495"/>
      <c r="V15" s="495"/>
      <c r="W15" s="495"/>
      <c r="X15" s="495"/>
      <c r="Y15" s="495"/>
    </row>
    <row r="16" spans="1:27" s="3" customFormat="1" ht="15" customHeight="1" x14ac:dyDescent="0.2">
      <c r="E16" s="465" t="s">
        <v>3</v>
      </c>
      <c r="F16" s="465"/>
      <c r="G16" s="465"/>
      <c r="H16" s="465"/>
      <c r="I16" s="465"/>
      <c r="J16" s="465"/>
      <c r="K16" s="465"/>
      <c r="L16" s="465"/>
      <c r="M16" s="465"/>
      <c r="N16" s="465"/>
      <c r="O16" s="465"/>
      <c r="P16" s="465"/>
      <c r="Q16" s="465"/>
      <c r="R16" s="465"/>
      <c r="S16" s="465"/>
      <c r="T16" s="465"/>
      <c r="U16" s="465"/>
      <c r="V16" s="465"/>
      <c r="W16" s="465"/>
      <c r="X16" s="465"/>
      <c r="Y16" s="4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6"/>
      <c r="F18" s="486"/>
      <c r="G18" s="486"/>
      <c r="H18" s="486"/>
      <c r="I18" s="486"/>
      <c r="J18" s="486"/>
      <c r="K18" s="486"/>
      <c r="L18" s="486"/>
      <c r="M18" s="486"/>
      <c r="N18" s="486"/>
      <c r="O18" s="486"/>
      <c r="P18" s="486"/>
      <c r="Q18" s="486"/>
      <c r="R18" s="486"/>
      <c r="S18" s="486"/>
      <c r="T18" s="486"/>
      <c r="U18" s="486"/>
      <c r="V18" s="486"/>
      <c r="W18" s="486"/>
      <c r="X18" s="486"/>
      <c r="Y18" s="486"/>
    </row>
    <row r="19" spans="1:27" ht="25.5" customHeight="1" x14ac:dyDescent="0.25">
      <c r="A19" s="486" t="s">
        <v>423</v>
      </c>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row>
    <row r="20" spans="1:27" s="46" customFormat="1" ht="21" customHeight="1" x14ac:dyDescent="0.25"/>
    <row r="21" spans="1:27" ht="15.75" customHeight="1" x14ac:dyDescent="0.25">
      <c r="A21" s="493" t="s">
        <v>2</v>
      </c>
      <c r="B21" s="489" t="s">
        <v>430</v>
      </c>
      <c r="C21" s="490"/>
      <c r="D21" s="489" t="s">
        <v>432</v>
      </c>
      <c r="E21" s="490"/>
      <c r="F21" s="482" t="s">
        <v>87</v>
      </c>
      <c r="G21" s="484"/>
      <c r="H21" s="484"/>
      <c r="I21" s="483"/>
      <c r="J21" s="493" t="s">
        <v>433</v>
      </c>
      <c r="K21" s="489" t="s">
        <v>434</v>
      </c>
      <c r="L21" s="490"/>
      <c r="M21" s="489" t="s">
        <v>435</v>
      </c>
      <c r="N21" s="490"/>
      <c r="O21" s="489" t="s">
        <v>422</v>
      </c>
      <c r="P21" s="490"/>
      <c r="Q21" s="489" t="s">
        <v>120</v>
      </c>
      <c r="R21" s="490"/>
      <c r="S21" s="493" t="s">
        <v>119</v>
      </c>
      <c r="T21" s="493" t="s">
        <v>436</v>
      </c>
      <c r="U21" s="493" t="s">
        <v>431</v>
      </c>
      <c r="V21" s="489" t="s">
        <v>118</v>
      </c>
      <c r="W21" s="490"/>
      <c r="X21" s="482" t="s">
        <v>110</v>
      </c>
      <c r="Y21" s="484"/>
      <c r="Z21" s="482" t="s">
        <v>109</v>
      </c>
      <c r="AA21" s="484"/>
    </row>
    <row r="22" spans="1:27" ht="216" customHeight="1" x14ac:dyDescent="0.25">
      <c r="A22" s="496"/>
      <c r="B22" s="491"/>
      <c r="C22" s="492"/>
      <c r="D22" s="491"/>
      <c r="E22" s="492"/>
      <c r="F22" s="482" t="s">
        <v>117</v>
      </c>
      <c r="G22" s="483"/>
      <c r="H22" s="482" t="s">
        <v>116</v>
      </c>
      <c r="I22" s="483"/>
      <c r="J22" s="494"/>
      <c r="K22" s="491"/>
      <c r="L22" s="492"/>
      <c r="M22" s="491"/>
      <c r="N22" s="492"/>
      <c r="O22" s="491"/>
      <c r="P22" s="492"/>
      <c r="Q22" s="491"/>
      <c r="R22" s="492"/>
      <c r="S22" s="494"/>
      <c r="T22" s="494"/>
      <c r="U22" s="494"/>
      <c r="V22" s="491"/>
      <c r="W22" s="492"/>
      <c r="X22" s="61" t="s">
        <v>108</v>
      </c>
      <c r="Y22" s="61" t="s">
        <v>420</v>
      </c>
      <c r="Z22" s="61" t="s">
        <v>107</v>
      </c>
      <c r="AA22" s="61" t="s">
        <v>106</v>
      </c>
    </row>
    <row r="23" spans="1:27" ht="60" customHeight="1" x14ac:dyDescent="0.25">
      <c r="A23" s="494"/>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69" customHeight="1" x14ac:dyDescent="0.25">
      <c r="A25" s="380">
        <v>1</v>
      </c>
      <c r="B25" s="380" t="s">
        <v>304</v>
      </c>
      <c r="C25" s="381" t="s">
        <v>534</v>
      </c>
      <c r="D25" s="380" t="s">
        <v>304</v>
      </c>
      <c r="E25" s="381" t="s">
        <v>536</v>
      </c>
      <c r="F25" s="380" t="s">
        <v>304</v>
      </c>
      <c r="G25" s="380">
        <v>15</v>
      </c>
      <c r="H25" s="380" t="s">
        <v>304</v>
      </c>
      <c r="I25" s="380">
        <v>15</v>
      </c>
      <c r="J25" s="380" t="s">
        <v>304</v>
      </c>
      <c r="K25" s="380" t="s">
        <v>304</v>
      </c>
      <c r="L25" s="380">
        <v>1</v>
      </c>
      <c r="M25" s="380" t="s">
        <v>304</v>
      </c>
      <c r="N25" s="380">
        <v>70</v>
      </c>
      <c r="O25" s="380" t="s">
        <v>304</v>
      </c>
      <c r="P25" s="380" t="s">
        <v>529</v>
      </c>
      <c r="Q25" s="380" t="s">
        <v>304</v>
      </c>
      <c r="R25" s="380">
        <v>0.76</v>
      </c>
      <c r="S25" s="380" t="s">
        <v>304</v>
      </c>
      <c r="T25" s="380" t="s">
        <v>304</v>
      </c>
      <c r="U25" s="380" t="s">
        <v>304</v>
      </c>
      <c r="V25" s="380" t="s">
        <v>304</v>
      </c>
      <c r="W25" s="380" t="s">
        <v>504</v>
      </c>
      <c r="X25" s="380" t="s">
        <v>304</v>
      </c>
      <c r="Y25" s="380" t="s">
        <v>304</v>
      </c>
      <c r="Z25" s="380" t="s">
        <v>304</v>
      </c>
      <c r="AA25" s="380" t="s">
        <v>304</v>
      </c>
    </row>
    <row r="26" spans="1:27" ht="78" customHeight="1" x14ac:dyDescent="0.25">
      <c r="A26" s="380">
        <v>2</v>
      </c>
      <c r="B26" s="380" t="s">
        <v>304</v>
      </c>
      <c r="C26" s="382" t="s">
        <v>528</v>
      </c>
      <c r="D26" s="380" t="s">
        <v>304</v>
      </c>
      <c r="E26" s="382" t="s">
        <v>535</v>
      </c>
      <c r="F26" s="380" t="s">
        <v>304</v>
      </c>
      <c r="G26" s="381">
        <v>0.4</v>
      </c>
      <c r="H26" s="380" t="s">
        <v>304</v>
      </c>
      <c r="I26" s="381">
        <v>0.4</v>
      </c>
      <c r="J26" s="380" t="s">
        <v>304</v>
      </c>
      <c r="K26" s="380" t="s">
        <v>304</v>
      </c>
      <c r="L26" s="380">
        <v>1</v>
      </c>
      <c r="M26" s="380" t="s">
        <v>304</v>
      </c>
      <c r="N26" s="380">
        <v>95</v>
      </c>
      <c r="O26" s="380" t="s">
        <v>304</v>
      </c>
      <c r="P26" s="380" t="s">
        <v>511</v>
      </c>
      <c r="Q26" s="380" t="s">
        <v>304</v>
      </c>
      <c r="R26" s="380">
        <v>3.5000000000000003E-2</v>
      </c>
      <c r="S26" s="380" t="s">
        <v>304</v>
      </c>
      <c r="T26" s="380" t="s">
        <v>304</v>
      </c>
      <c r="U26" s="380" t="s">
        <v>304</v>
      </c>
      <c r="V26" s="380" t="s">
        <v>304</v>
      </c>
      <c r="W26" s="380" t="s">
        <v>504</v>
      </c>
      <c r="X26" s="380" t="s">
        <v>304</v>
      </c>
      <c r="Y26" s="380" t="s">
        <v>304</v>
      </c>
      <c r="Z26" s="380" t="s">
        <v>304</v>
      </c>
      <c r="AA26" s="380" t="s">
        <v>304</v>
      </c>
    </row>
    <row r="27" spans="1:27" s="279" customFormat="1" ht="28.15" customHeight="1" x14ac:dyDescent="0.25">
      <c r="A27" s="488">
        <v>3</v>
      </c>
      <c r="B27" s="488" t="s">
        <v>537</v>
      </c>
      <c r="C27" s="488" t="s">
        <v>528</v>
      </c>
      <c r="D27" s="382" t="s">
        <v>539</v>
      </c>
      <c r="E27" s="382" t="s">
        <v>539</v>
      </c>
      <c r="F27" s="488">
        <v>0.4</v>
      </c>
      <c r="G27" s="488">
        <v>0.4</v>
      </c>
      <c r="H27" s="488">
        <v>0.4</v>
      </c>
      <c r="I27" s="488">
        <v>0.4</v>
      </c>
      <c r="J27" s="488" t="s">
        <v>522</v>
      </c>
      <c r="K27" s="488" t="s">
        <v>61</v>
      </c>
      <c r="L27" s="488" t="s">
        <v>61</v>
      </c>
      <c r="M27" s="383" t="s">
        <v>526</v>
      </c>
      <c r="N27" s="384">
        <v>95</v>
      </c>
      <c r="O27" s="488" t="s">
        <v>503</v>
      </c>
      <c r="P27" s="488" t="s">
        <v>511</v>
      </c>
      <c r="Q27" s="385">
        <v>0.51300000000000001</v>
      </c>
      <c r="R27" s="385">
        <v>0.51300000000000001</v>
      </c>
      <c r="S27" s="488" t="s">
        <v>304</v>
      </c>
      <c r="T27" s="488" t="s">
        <v>516</v>
      </c>
      <c r="U27" s="488" t="s">
        <v>58</v>
      </c>
      <c r="V27" s="488" t="s">
        <v>517</v>
      </c>
      <c r="W27" s="488" t="s">
        <v>504</v>
      </c>
      <c r="X27" s="488" t="s">
        <v>523</v>
      </c>
      <c r="Y27" s="488" t="s">
        <v>524</v>
      </c>
      <c r="Z27" s="488" t="s">
        <v>587</v>
      </c>
      <c r="AA27" s="488" t="s">
        <v>518</v>
      </c>
    </row>
    <row r="28" spans="1:27" s="279" customFormat="1" ht="28.15" customHeight="1" x14ac:dyDescent="0.25">
      <c r="A28" s="488"/>
      <c r="B28" s="488"/>
      <c r="C28" s="488"/>
      <c r="D28" s="382" t="s">
        <v>540</v>
      </c>
      <c r="E28" s="382" t="s">
        <v>540</v>
      </c>
      <c r="F28" s="488"/>
      <c r="G28" s="488"/>
      <c r="H28" s="488"/>
      <c r="I28" s="488"/>
      <c r="J28" s="488"/>
      <c r="K28" s="488"/>
      <c r="L28" s="488"/>
      <c r="M28" s="383" t="s">
        <v>526</v>
      </c>
      <c r="N28" s="384">
        <v>70</v>
      </c>
      <c r="O28" s="488"/>
      <c r="P28" s="488"/>
      <c r="Q28" s="385">
        <v>0.17399999999999999</v>
      </c>
      <c r="R28" s="385">
        <v>0.17399999999999999</v>
      </c>
      <c r="S28" s="488"/>
      <c r="T28" s="488"/>
      <c r="U28" s="488"/>
      <c r="V28" s="488"/>
      <c r="W28" s="488"/>
      <c r="X28" s="488"/>
      <c r="Y28" s="488"/>
      <c r="Z28" s="488"/>
      <c r="AA28" s="488"/>
    </row>
    <row r="29" spans="1:27" s="279" customFormat="1" ht="28.15" customHeight="1" x14ac:dyDescent="0.25">
      <c r="A29" s="488"/>
      <c r="B29" s="488"/>
      <c r="C29" s="488"/>
      <c r="D29" s="382" t="s">
        <v>541</v>
      </c>
      <c r="E29" s="382" t="s">
        <v>541</v>
      </c>
      <c r="F29" s="488"/>
      <c r="G29" s="488"/>
      <c r="H29" s="488"/>
      <c r="I29" s="488"/>
      <c r="J29" s="488"/>
      <c r="K29" s="488"/>
      <c r="L29" s="488"/>
      <c r="M29" s="383" t="s">
        <v>526</v>
      </c>
      <c r="N29" s="384">
        <v>50</v>
      </c>
      <c r="O29" s="488"/>
      <c r="P29" s="488"/>
      <c r="Q29" s="385">
        <v>0.11799999999999999</v>
      </c>
      <c r="R29" s="385">
        <v>0.11799999999999999</v>
      </c>
      <c r="S29" s="488"/>
      <c r="T29" s="488"/>
      <c r="U29" s="488"/>
      <c r="V29" s="488"/>
      <c r="W29" s="488"/>
      <c r="X29" s="488"/>
      <c r="Y29" s="488"/>
      <c r="Z29" s="488"/>
      <c r="AA29" s="488"/>
    </row>
    <row r="30" spans="1:27" s="279" customFormat="1" ht="28.15" customHeight="1" x14ac:dyDescent="0.25">
      <c r="A30" s="488"/>
      <c r="B30" s="488" t="s">
        <v>537</v>
      </c>
      <c r="C30" s="488" t="s">
        <v>304</v>
      </c>
      <c r="D30" s="382" t="s">
        <v>542</v>
      </c>
      <c r="E30" s="382" t="s">
        <v>304</v>
      </c>
      <c r="F30" s="488">
        <v>0.4</v>
      </c>
      <c r="G30" s="488" t="s">
        <v>304</v>
      </c>
      <c r="H30" s="488">
        <v>0.4</v>
      </c>
      <c r="I30" s="488" t="s">
        <v>304</v>
      </c>
      <c r="J30" s="488" t="s">
        <v>522</v>
      </c>
      <c r="K30" s="488" t="s">
        <v>61</v>
      </c>
      <c r="L30" s="488" t="s">
        <v>304</v>
      </c>
      <c r="M30" s="383" t="s">
        <v>526</v>
      </c>
      <c r="N30" s="384" t="s">
        <v>304</v>
      </c>
      <c r="O30" s="384" t="s">
        <v>503</v>
      </c>
      <c r="P30" s="384" t="s">
        <v>304</v>
      </c>
      <c r="Q30" s="385">
        <v>0.48399999999999999</v>
      </c>
      <c r="R30" s="385" t="s">
        <v>304</v>
      </c>
      <c r="S30" s="488" t="s">
        <v>304</v>
      </c>
      <c r="T30" s="488" t="s">
        <v>516</v>
      </c>
      <c r="U30" s="488" t="s">
        <v>58</v>
      </c>
      <c r="V30" s="488" t="s">
        <v>517</v>
      </c>
      <c r="W30" s="488" t="s">
        <v>304</v>
      </c>
      <c r="X30" s="488" t="s">
        <v>523</v>
      </c>
      <c r="Y30" s="488" t="s">
        <v>524</v>
      </c>
      <c r="Z30" s="488" t="s">
        <v>519</v>
      </c>
      <c r="AA30" s="488" t="s">
        <v>520</v>
      </c>
    </row>
    <row r="31" spans="1:27" s="279" customFormat="1" ht="28.15" customHeight="1" x14ac:dyDescent="0.25">
      <c r="A31" s="488">
        <v>4</v>
      </c>
      <c r="B31" s="488" t="s">
        <v>538</v>
      </c>
      <c r="C31" s="488" t="s">
        <v>538</v>
      </c>
      <c r="D31" s="382" t="s">
        <v>543</v>
      </c>
      <c r="E31" s="382" t="s">
        <v>543</v>
      </c>
      <c r="F31" s="488">
        <v>0.4</v>
      </c>
      <c r="G31" s="488">
        <v>0.4</v>
      </c>
      <c r="H31" s="488">
        <v>0.4</v>
      </c>
      <c r="I31" s="488">
        <v>0.4</v>
      </c>
      <c r="J31" s="488" t="s">
        <v>522</v>
      </c>
      <c r="K31" s="488" t="s">
        <v>61</v>
      </c>
      <c r="L31" s="488" t="s">
        <v>61</v>
      </c>
      <c r="M31" s="383" t="s">
        <v>525</v>
      </c>
      <c r="N31" s="384">
        <v>95</v>
      </c>
      <c r="O31" s="488" t="s">
        <v>503</v>
      </c>
      <c r="P31" s="488" t="s">
        <v>511</v>
      </c>
      <c r="Q31" s="385">
        <v>0.30099999999999999</v>
      </c>
      <c r="R31" s="385">
        <v>0.30099999999999999</v>
      </c>
      <c r="S31" s="488" t="s">
        <v>304</v>
      </c>
      <c r="T31" s="488" t="s">
        <v>516</v>
      </c>
      <c r="U31" s="488" t="s">
        <v>58</v>
      </c>
      <c r="V31" s="488" t="s">
        <v>517</v>
      </c>
      <c r="W31" s="488" t="s">
        <v>504</v>
      </c>
      <c r="X31" s="488" t="s">
        <v>523</v>
      </c>
      <c r="Y31" s="488" t="s">
        <v>524</v>
      </c>
      <c r="Z31" s="488" t="s">
        <v>587</v>
      </c>
      <c r="AA31" s="488" t="s">
        <v>518</v>
      </c>
    </row>
    <row r="32" spans="1:27" s="279" customFormat="1" ht="28.15" customHeight="1" x14ac:dyDescent="0.25">
      <c r="A32" s="488"/>
      <c r="B32" s="488"/>
      <c r="C32" s="488"/>
      <c r="D32" s="382" t="s">
        <v>544</v>
      </c>
      <c r="E32" s="382" t="s">
        <v>544</v>
      </c>
      <c r="F32" s="488">
        <v>0.4</v>
      </c>
      <c r="G32" s="488">
        <v>0.4</v>
      </c>
      <c r="H32" s="488">
        <v>0.4</v>
      </c>
      <c r="I32" s="488">
        <v>0.4</v>
      </c>
      <c r="J32" s="488" t="s">
        <v>522</v>
      </c>
      <c r="K32" s="488" t="s">
        <v>61</v>
      </c>
      <c r="L32" s="488" t="s">
        <v>61</v>
      </c>
      <c r="M32" s="383" t="s">
        <v>525</v>
      </c>
      <c r="N32" s="384">
        <v>50</v>
      </c>
      <c r="O32" s="488" t="s">
        <v>503</v>
      </c>
      <c r="P32" s="488" t="s">
        <v>511</v>
      </c>
      <c r="Q32" s="385">
        <v>0.03</v>
      </c>
      <c r="R32" s="385">
        <v>0.03</v>
      </c>
      <c r="S32" s="488" t="s">
        <v>304</v>
      </c>
      <c r="T32" s="488" t="s">
        <v>516</v>
      </c>
      <c r="U32" s="488" t="s">
        <v>58</v>
      </c>
      <c r="V32" s="488" t="s">
        <v>517</v>
      </c>
      <c r="W32" s="488" t="s">
        <v>504</v>
      </c>
      <c r="X32" s="488" t="s">
        <v>523</v>
      </c>
      <c r="Y32" s="488" t="s">
        <v>524</v>
      </c>
      <c r="Z32" s="488" t="s">
        <v>519</v>
      </c>
      <c r="AA32" s="488" t="s">
        <v>518</v>
      </c>
    </row>
    <row r="33" spans="17:27" x14ac:dyDescent="0.25">
      <c r="Q33" s="290">
        <f>SUM(Q25:Q32)</f>
        <v>1.62</v>
      </c>
      <c r="R33" s="290">
        <f>SUM(R25:R32)</f>
        <v>1.931</v>
      </c>
      <c r="S33" s="38">
        <f>R33-Q33</f>
        <v>0.31099999999999994</v>
      </c>
      <c r="X33" s="294"/>
      <c r="Y33" s="295"/>
      <c r="Z33" s="296"/>
      <c r="AA33" s="293"/>
    </row>
    <row r="34" spans="17:27" x14ac:dyDescent="0.25">
      <c r="R34" s="291"/>
      <c r="S34" s="46"/>
      <c r="AA34" s="293"/>
    </row>
    <row r="35" spans="17:27" x14ac:dyDescent="0.25">
      <c r="AA35" s="293"/>
    </row>
    <row r="36" spans="17:27" x14ac:dyDescent="0.25">
      <c r="AA36" s="293"/>
    </row>
    <row r="37" spans="17:27" x14ac:dyDescent="0.25">
      <c r="AA37" s="293"/>
    </row>
  </sheetData>
  <mergeCells count="69">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 ref="A27:A30"/>
    <mergeCell ref="B27:B30"/>
    <mergeCell ref="C27:C30"/>
    <mergeCell ref="F27:F30"/>
    <mergeCell ref="G27:G30"/>
    <mergeCell ref="O27:O29"/>
    <mergeCell ref="H27:H30"/>
    <mergeCell ref="I27:I30"/>
    <mergeCell ref="J27:J30"/>
    <mergeCell ref="K27:K30"/>
    <mergeCell ref="L27:L30"/>
    <mergeCell ref="P27:P29"/>
    <mergeCell ref="S27:S30"/>
    <mergeCell ref="T27:T30"/>
    <mergeCell ref="U27:U30"/>
    <mergeCell ref="V27:V30"/>
    <mergeCell ref="W27:W30"/>
    <mergeCell ref="X27:X30"/>
    <mergeCell ref="Y27:Y30"/>
    <mergeCell ref="Z27:Z30"/>
    <mergeCell ref="AA27:AA30"/>
    <mergeCell ref="A31:A32"/>
    <mergeCell ref="B31:B32"/>
    <mergeCell ref="C31:C32"/>
    <mergeCell ref="F31:F32"/>
    <mergeCell ref="G31:G32"/>
    <mergeCell ref="H31:H32"/>
    <mergeCell ref="I31:I32"/>
    <mergeCell ref="J31:J32"/>
    <mergeCell ref="K31:K32"/>
    <mergeCell ref="L31:L32"/>
    <mergeCell ref="O31:O32"/>
    <mergeCell ref="P31:P32"/>
    <mergeCell ref="S31:S32"/>
    <mergeCell ref="T31:T32"/>
    <mergeCell ref="U31:U32"/>
    <mergeCell ref="AA31:AA32"/>
    <mergeCell ref="V31:V32"/>
    <mergeCell ref="W31:W32"/>
    <mergeCell ref="X31:X32"/>
    <mergeCell ref="Y31:Y32"/>
    <mergeCell ref="Z31:Z3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510</v>
      </c>
      <c r="E3" s="15"/>
      <c r="F3" s="15"/>
    </row>
    <row r="4" spans="1:29" s="11" customFormat="1" ht="18.75" x14ac:dyDescent="0.3">
      <c r="A4" s="16"/>
      <c r="C4" s="253"/>
      <c r="E4" s="15"/>
      <c r="F4" s="15"/>
    </row>
    <row r="5" spans="1:29" s="11" customFormat="1" ht="15.75" x14ac:dyDescent="0.2">
      <c r="A5" s="451" t="str">
        <f>'1. паспорт местоположение'!A5:C5</f>
        <v>Год раскрытия информации: 2025 год</v>
      </c>
      <c r="B5" s="451"/>
      <c r="C5" s="451"/>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60" t="s">
        <v>6</v>
      </c>
      <c r="B7" s="460"/>
      <c r="C7" s="460"/>
      <c r="D7" s="12"/>
      <c r="E7" s="12"/>
      <c r="F7" s="12"/>
      <c r="G7" s="12"/>
      <c r="H7" s="12"/>
      <c r="I7" s="12"/>
      <c r="J7" s="12"/>
      <c r="K7" s="12"/>
      <c r="L7" s="12"/>
      <c r="M7" s="12"/>
      <c r="N7" s="12"/>
      <c r="O7" s="12"/>
      <c r="P7" s="12"/>
      <c r="Q7" s="12"/>
      <c r="R7" s="12"/>
      <c r="S7" s="12"/>
      <c r="T7" s="12"/>
      <c r="U7" s="12"/>
    </row>
    <row r="8" spans="1:29" s="11" customFormat="1" ht="18.75" x14ac:dyDescent="0.2">
      <c r="A8" s="460"/>
      <c r="B8" s="460"/>
      <c r="C8" s="460"/>
      <c r="D8" s="13"/>
      <c r="E8" s="13"/>
      <c r="F8" s="13"/>
      <c r="G8" s="13"/>
      <c r="H8" s="12"/>
      <c r="I8" s="12"/>
      <c r="J8" s="12"/>
      <c r="K8" s="12"/>
      <c r="L8" s="12"/>
      <c r="M8" s="12"/>
      <c r="N8" s="12"/>
      <c r="O8" s="12"/>
      <c r="P8" s="12"/>
      <c r="Q8" s="12"/>
      <c r="R8" s="12"/>
      <c r="S8" s="12"/>
      <c r="T8" s="12"/>
      <c r="U8" s="12"/>
    </row>
    <row r="9" spans="1:29" s="11" customFormat="1" ht="18.75" x14ac:dyDescent="0.2">
      <c r="A9" s="461" t="str">
        <f>'1. паспорт местоположение'!A9:C9</f>
        <v>Акционерное общество "Россети Янтарь" ДЗО  ПАО "Россети"</v>
      </c>
      <c r="B9" s="461"/>
      <c r="C9" s="461"/>
      <c r="D9" s="7"/>
      <c r="E9" s="7"/>
      <c r="F9" s="7"/>
      <c r="G9" s="7"/>
      <c r="H9" s="12"/>
      <c r="I9" s="12"/>
      <c r="J9" s="12"/>
      <c r="K9" s="12"/>
      <c r="L9" s="12"/>
      <c r="M9" s="12"/>
      <c r="N9" s="12"/>
      <c r="O9" s="12"/>
      <c r="P9" s="12"/>
      <c r="Q9" s="12"/>
      <c r="R9" s="12"/>
      <c r="S9" s="12"/>
      <c r="T9" s="12"/>
      <c r="U9" s="12"/>
    </row>
    <row r="10" spans="1:29" s="11" customFormat="1" ht="18.75" x14ac:dyDescent="0.2">
      <c r="A10" s="465" t="s">
        <v>5</v>
      </c>
      <c r="B10" s="465"/>
      <c r="C10" s="465"/>
      <c r="D10" s="5"/>
      <c r="E10" s="5"/>
      <c r="F10" s="5"/>
      <c r="G10" s="5"/>
      <c r="H10" s="12"/>
      <c r="I10" s="12"/>
      <c r="J10" s="12"/>
      <c r="K10" s="12"/>
      <c r="L10" s="12"/>
      <c r="M10" s="12"/>
      <c r="N10" s="12"/>
      <c r="O10" s="12"/>
      <c r="P10" s="12"/>
      <c r="Q10" s="12"/>
      <c r="R10" s="12"/>
      <c r="S10" s="12"/>
      <c r="T10" s="12"/>
      <c r="U10" s="12"/>
    </row>
    <row r="11" spans="1:29" s="11" customFormat="1" ht="18.75" x14ac:dyDescent="0.2">
      <c r="A11" s="460"/>
      <c r="B11" s="460"/>
      <c r="C11" s="460"/>
      <c r="D11" s="13"/>
      <c r="E11" s="13"/>
      <c r="F11" s="13"/>
      <c r="G11" s="13"/>
      <c r="H11" s="12"/>
      <c r="I11" s="12"/>
      <c r="J11" s="12"/>
      <c r="K11" s="12"/>
      <c r="L11" s="12"/>
      <c r="M11" s="12"/>
      <c r="N11" s="12"/>
      <c r="O11" s="12"/>
      <c r="P11" s="12"/>
      <c r="Q11" s="12"/>
      <c r="R11" s="12"/>
      <c r="S11" s="12"/>
      <c r="T11" s="12"/>
      <c r="U11" s="12"/>
    </row>
    <row r="12" spans="1:29" s="11" customFormat="1" ht="18.75" x14ac:dyDescent="0.2">
      <c r="A12" s="461" t="str">
        <f>'1. паспорт местоположение'!A12:C12</f>
        <v>N_22-1297</v>
      </c>
      <c r="B12" s="461"/>
      <c r="C12" s="461"/>
      <c r="D12" s="7"/>
      <c r="E12" s="7"/>
      <c r="F12" s="7"/>
      <c r="G12" s="7"/>
      <c r="H12" s="12"/>
      <c r="I12" s="12"/>
      <c r="J12" s="12"/>
      <c r="K12" s="12"/>
      <c r="L12" s="12"/>
      <c r="M12" s="12"/>
      <c r="N12" s="12"/>
      <c r="O12" s="12"/>
      <c r="P12" s="12"/>
      <c r="Q12" s="12"/>
      <c r="R12" s="12"/>
      <c r="S12" s="12"/>
      <c r="T12" s="12"/>
      <c r="U12" s="12"/>
    </row>
    <row r="13" spans="1:29" s="11" customFormat="1" ht="18.75" x14ac:dyDescent="0.2">
      <c r="A13" s="465" t="s">
        <v>4</v>
      </c>
      <c r="B13" s="465"/>
      <c r="C13" s="46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6"/>
      <c r="B14" s="466"/>
      <c r="C14" s="466"/>
      <c r="D14" s="9"/>
      <c r="E14" s="9"/>
      <c r="F14" s="9"/>
      <c r="G14" s="9"/>
      <c r="H14" s="9"/>
      <c r="I14" s="9"/>
      <c r="J14" s="9"/>
      <c r="K14" s="9"/>
      <c r="L14" s="9"/>
      <c r="M14" s="9"/>
      <c r="N14" s="9"/>
      <c r="O14" s="9"/>
      <c r="P14" s="9"/>
      <c r="Q14" s="9"/>
      <c r="R14" s="9"/>
      <c r="S14" s="9"/>
      <c r="T14" s="9"/>
      <c r="U14" s="9"/>
    </row>
    <row r="15" spans="1:29" s="3" customFormat="1" ht="42.6" customHeight="1" x14ac:dyDescent="0.2">
      <c r="A15" s="485"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485"/>
      <c r="C15" s="485"/>
      <c r="D15" s="7"/>
      <c r="E15" s="7"/>
      <c r="F15" s="7"/>
      <c r="G15" s="7"/>
      <c r="H15" s="7"/>
      <c r="I15" s="7"/>
      <c r="J15" s="7"/>
      <c r="K15" s="7"/>
      <c r="L15" s="7"/>
      <c r="M15" s="7"/>
      <c r="N15" s="7"/>
      <c r="O15" s="7"/>
      <c r="P15" s="7"/>
      <c r="Q15" s="7"/>
      <c r="R15" s="7"/>
      <c r="S15" s="7"/>
      <c r="T15" s="7"/>
      <c r="U15" s="7"/>
    </row>
    <row r="16" spans="1:29" s="3" customFormat="1" ht="15" customHeight="1" x14ac:dyDescent="0.2">
      <c r="A16" s="465" t="s">
        <v>3</v>
      </c>
      <c r="B16" s="465"/>
      <c r="C16" s="465"/>
      <c r="D16" s="5"/>
      <c r="E16" s="5"/>
      <c r="F16" s="5"/>
      <c r="G16" s="5"/>
      <c r="H16" s="5"/>
      <c r="I16" s="5"/>
      <c r="J16" s="5"/>
      <c r="K16" s="5"/>
      <c r="L16" s="5"/>
      <c r="M16" s="5"/>
      <c r="N16" s="5"/>
      <c r="O16" s="5"/>
      <c r="P16" s="5"/>
      <c r="Q16" s="5"/>
      <c r="R16" s="5"/>
      <c r="S16" s="5"/>
      <c r="T16" s="5"/>
      <c r="U16" s="5"/>
    </row>
    <row r="17" spans="1:21" s="3" customFormat="1" ht="15" customHeight="1" x14ac:dyDescent="0.2">
      <c r="A17" s="468"/>
      <c r="B17" s="468"/>
      <c r="C17" s="468"/>
      <c r="D17" s="4"/>
      <c r="E17" s="4"/>
      <c r="F17" s="4"/>
      <c r="G17" s="4"/>
      <c r="H17" s="4"/>
      <c r="I17" s="4"/>
      <c r="J17" s="4"/>
      <c r="K17" s="4"/>
      <c r="L17" s="4"/>
      <c r="M17" s="4"/>
      <c r="N17" s="4"/>
      <c r="O17" s="4"/>
      <c r="P17" s="4"/>
      <c r="Q17" s="4"/>
      <c r="R17" s="4"/>
    </row>
    <row r="18" spans="1:21" s="3" customFormat="1" ht="27.75" customHeight="1" x14ac:dyDescent="0.2">
      <c r="A18" s="469" t="s">
        <v>415</v>
      </c>
      <c r="B18" s="469"/>
      <c r="C18" s="46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4" t="s">
        <v>2</v>
      </c>
      <c r="B20" s="32" t="s">
        <v>63</v>
      </c>
      <c r="C20" s="26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4">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7" t="s">
        <v>545</v>
      </c>
      <c r="D22" s="28"/>
      <c r="E22" s="28"/>
      <c r="F22" s="27"/>
      <c r="G22" s="27"/>
      <c r="H22" s="27"/>
      <c r="I22" s="27"/>
      <c r="J22" s="27"/>
      <c r="K22" s="27"/>
      <c r="L22" s="27"/>
      <c r="M22" s="27"/>
      <c r="N22" s="27"/>
      <c r="O22" s="27"/>
      <c r="P22" s="27"/>
      <c r="Q22" s="26"/>
      <c r="R22" s="26"/>
      <c r="S22" s="26"/>
      <c r="T22" s="26"/>
      <c r="U22" s="26"/>
    </row>
    <row r="23" spans="1:21" ht="54.75" customHeight="1" x14ac:dyDescent="0.25">
      <c r="A23" s="23" t="s">
        <v>60</v>
      </c>
      <c r="B23" s="25" t="s">
        <v>57</v>
      </c>
      <c r="C23" s="284" t="s">
        <v>512</v>
      </c>
      <c r="D23" s="22"/>
      <c r="E23" s="22"/>
      <c r="F23" s="22"/>
      <c r="G23" s="22"/>
      <c r="H23" s="22"/>
      <c r="I23" s="22"/>
      <c r="J23" s="22"/>
      <c r="K23" s="22"/>
      <c r="L23" s="22"/>
      <c r="M23" s="22"/>
      <c r="N23" s="22"/>
      <c r="O23" s="22"/>
      <c r="P23" s="22"/>
      <c r="Q23" s="22"/>
      <c r="R23" s="22"/>
      <c r="S23" s="22"/>
      <c r="T23" s="22"/>
      <c r="U23" s="22"/>
    </row>
    <row r="24" spans="1:21" ht="78.75" x14ac:dyDescent="0.25">
      <c r="A24" s="23" t="s">
        <v>59</v>
      </c>
      <c r="B24" s="25" t="s">
        <v>448</v>
      </c>
      <c r="C24" s="298"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379" t="s">
        <v>585</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4" t="s">
        <v>501</v>
      </c>
      <c r="D26" s="22"/>
      <c r="E26" s="22"/>
      <c r="F26" s="22"/>
      <c r="G26" s="22"/>
      <c r="H26" s="22"/>
      <c r="I26" s="22"/>
      <c r="J26" s="22"/>
      <c r="K26" s="22"/>
      <c r="L26" s="22"/>
      <c r="M26" s="22"/>
      <c r="N26" s="22"/>
      <c r="O26" s="22"/>
      <c r="P26" s="22"/>
      <c r="Q26" s="22"/>
      <c r="R26" s="22"/>
      <c r="S26" s="22"/>
      <c r="T26" s="22"/>
      <c r="U26" s="22"/>
    </row>
    <row r="27" spans="1:21" ht="252" customHeight="1" x14ac:dyDescent="0.25">
      <c r="A27" s="23" t="s">
        <v>55</v>
      </c>
      <c r="B27" s="25" t="s">
        <v>429</v>
      </c>
      <c r="C27" s="284" t="s">
        <v>589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610</v>
      </c>
      <c r="D30" s="22"/>
      <c r="E30" s="22"/>
      <c r="F30" s="22"/>
      <c r="G30" s="22"/>
      <c r="H30" s="22"/>
      <c r="I30" s="22"/>
      <c r="J30" s="22"/>
      <c r="K30" s="22"/>
      <c r="L30" s="22"/>
      <c r="M30" s="22"/>
      <c r="N30" s="22"/>
      <c r="O30" s="22"/>
      <c r="P30" s="22"/>
      <c r="Q30" s="22"/>
      <c r="R30" s="22"/>
      <c r="S30" s="22"/>
      <c r="T30" s="22"/>
      <c r="U30" s="22"/>
    </row>
    <row r="31" spans="1:21" x14ac:dyDescent="0.25">
      <c r="A31" s="22"/>
      <c r="B31" s="22"/>
      <c r="C31" s="267"/>
      <c r="D31" s="22"/>
      <c r="E31" s="22"/>
      <c r="F31" s="22"/>
      <c r="G31" s="22"/>
      <c r="H31" s="22"/>
      <c r="I31" s="22"/>
      <c r="J31" s="22"/>
      <c r="K31" s="22"/>
      <c r="L31" s="22"/>
      <c r="M31" s="22"/>
      <c r="N31" s="22"/>
      <c r="O31" s="22"/>
      <c r="P31" s="22"/>
      <c r="Q31" s="22"/>
      <c r="R31" s="22"/>
      <c r="S31" s="22"/>
      <c r="T31" s="22"/>
      <c r="U31" s="22"/>
    </row>
    <row r="32" spans="1:21" x14ac:dyDescent="0.25">
      <c r="A32" s="22"/>
      <c r="B32" s="22"/>
      <c r="C32" s="267"/>
      <c r="D32" s="22"/>
      <c r="E32" s="22"/>
      <c r="F32" s="22"/>
      <c r="G32" s="22"/>
      <c r="H32" s="22"/>
      <c r="I32" s="22"/>
      <c r="J32" s="22"/>
      <c r="K32" s="22"/>
      <c r="L32" s="22"/>
      <c r="M32" s="22"/>
      <c r="N32" s="22"/>
      <c r="O32" s="22"/>
      <c r="P32" s="22"/>
      <c r="Q32" s="22"/>
      <c r="R32" s="22"/>
      <c r="S32" s="22"/>
      <c r="T32" s="22"/>
      <c r="U32" s="22"/>
    </row>
    <row r="33" spans="1:21" x14ac:dyDescent="0.25">
      <c r="A33" s="22"/>
      <c r="B33" s="22"/>
      <c r="C33" s="267"/>
      <c r="D33" s="22"/>
      <c r="E33" s="22"/>
      <c r="F33" s="22"/>
      <c r="G33" s="22"/>
      <c r="H33" s="22"/>
      <c r="I33" s="22"/>
      <c r="J33" s="22"/>
      <c r="K33" s="22"/>
      <c r="L33" s="22"/>
      <c r="M33" s="22"/>
      <c r="N33" s="22"/>
      <c r="O33" s="22"/>
      <c r="P33" s="22"/>
      <c r="Q33" s="22"/>
      <c r="R33" s="22"/>
      <c r="S33" s="22"/>
      <c r="T33" s="22"/>
      <c r="U33" s="22"/>
    </row>
    <row r="34" spans="1:21" x14ac:dyDescent="0.25">
      <c r="A34" s="22"/>
      <c r="B34" s="22"/>
      <c r="C34" s="267"/>
      <c r="D34" s="22"/>
      <c r="E34" s="22"/>
      <c r="F34" s="22"/>
      <c r="G34" s="22"/>
      <c r="H34" s="22"/>
      <c r="I34" s="22"/>
      <c r="J34" s="22"/>
      <c r="K34" s="22"/>
      <c r="L34" s="22"/>
      <c r="M34" s="22"/>
      <c r="N34" s="22"/>
      <c r="O34" s="22"/>
      <c r="P34" s="22"/>
      <c r="Q34" s="22"/>
      <c r="R34" s="22"/>
      <c r="S34" s="22"/>
      <c r="T34" s="22"/>
      <c r="U34" s="22"/>
    </row>
    <row r="35" spans="1:21" x14ac:dyDescent="0.25">
      <c r="A35" s="22"/>
      <c r="B35" s="22"/>
      <c r="C35" s="267"/>
      <c r="D35" s="22"/>
      <c r="E35" s="22"/>
      <c r="F35" s="22"/>
      <c r="G35" s="22"/>
      <c r="H35" s="22"/>
      <c r="I35" s="22"/>
      <c r="J35" s="22"/>
      <c r="K35" s="22"/>
      <c r="L35" s="22"/>
      <c r="M35" s="22"/>
      <c r="N35" s="22"/>
      <c r="O35" s="22"/>
      <c r="P35" s="22"/>
      <c r="Q35" s="22"/>
      <c r="R35" s="22"/>
      <c r="S35" s="22"/>
      <c r="T35" s="22"/>
      <c r="U35" s="22"/>
    </row>
    <row r="36" spans="1:21" x14ac:dyDescent="0.25">
      <c r="A36" s="22"/>
      <c r="B36" s="22"/>
      <c r="C36" s="267"/>
      <c r="D36" s="22"/>
      <c r="E36" s="22"/>
      <c r="F36" s="22"/>
      <c r="G36" s="22"/>
      <c r="H36" s="22"/>
      <c r="I36" s="22"/>
      <c r="J36" s="22"/>
      <c r="K36" s="22"/>
      <c r="L36" s="22"/>
      <c r="M36" s="22"/>
      <c r="N36" s="22"/>
      <c r="O36" s="22"/>
      <c r="P36" s="22"/>
      <c r="Q36" s="22"/>
      <c r="R36" s="22"/>
      <c r="S36" s="22"/>
      <c r="T36" s="22"/>
      <c r="U36" s="22"/>
    </row>
    <row r="37" spans="1:21" x14ac:dyDescent="0.25">
      <c r="A37" s="22"/>
      <c r="B37" s="22"/>
      <c r="C37" s="267"/>
      <c r="D37" s="22"/>
      <c r="E37" s="22"/>
      <c r="F37" s="22"/>
      <c r="G37" s="22"/>
      <c r="H37" s="22"/>
      <c r="I37" s="22"/>
      <c r="J37" s="22"/>
      <c r="K37" s="22"/>
      <c r="L37" s="22"/>
      <c r="M37" s="22"/>
      <c r="N37" s="22"/>
      <c r="O37" s="22"/>
      <c r="P37" s="22"/>
      <c r="Q37" s="22"/>
      <c r="R37" s="22"/>
      <c r="S37" s="22"/>
      <c r="T37" s="22"/>
      <c r="U37" s="22"/>
    </row>
    <row r="38" spans="1:21" x14ac:dyDescent="0.25">
      <c r="A38" s="22"/>
      <c r="B38" s="22"/>
      <c r="C38" s="267"/>
      <c r="D38" s="22"/>
      <c r="E38" s="22"/>
      <c r="F38" s="22"/>
      <c r="G38" s="22"/>
      <c r="H38" s="22"/>
      <c r="I38" s="22"/>
      <c r="J38" s="22"/>
      <c r="K38" s="22"/>
      <c r="L38" s="22"/>
      <c r="M38" s="22"/>
      <c r="N38" s="22"/>
      <c r="O38" s="22"/>
      <c r="P38" s="22"/>
      <c r="Q38" s="22"/>
      <c r="R38" s="22"/>
      <c r="S38" s="22"/>
      <c r="T38" s="22"/>
      <c r="U38" s="22"/>
    </row>
    <row r="39" spans="1:21" x14ac:dyDescent="0.25">
      <c r="A39" s="22"/>
      <c r="B39" s="22"/>
      <c r="C39" s="267"/>
      <c r="D39" s="22"/>
      <c r="E39" s="22"/>
      <c r="F39" s="22"/>
      <c r="G39" s="22"/>
      <c r="H39" s="22"/>
      <c r="I39" s="22"/>
      <c r="J39" s="22"/>
      <c r="K39" s="22"/>
      <c r="L39" s="22"/>
      <c r="M39" s="22"/>
      <c r="N39" s="22"/>
      <c r="O39" s="22"/>
      <c r="P39" s="22"/>
      <c r="Q39" s="22"/>
      <c r="R39" s="22"/>
      <c r="S39" s="22"/>
      <c r="T39" s="22"/>
      <c r="U39" s="22"/>
    </row>
    <row r="40" spans="1:21" x14ac:dyDescent="0.25">
      <c r="A40" s="22"/>
      <c r="B40" s="22"/>
      <c r="C40" s="267"/>
      <c r="D40" s="22"/>
      <c r="E40" s="22"/>
      <c r="F40" s="22"/>
      <c r="G40" s="22"/>
      <c r="H40" s="22"/>
      <c r="I40" s="22"/>
      <c r="J40" s="22"/>
      <c r="K40" s="22"/>
      <c r="L40" s="22"/>
      <c r="M40" s="22"/>
      <c r="N40" s="22"/>
      <c r="O40" s="22"/>
      <c r="P40" s="22"/>
      <c r="Q40" s="22"/>
      <c r="R40" s="22"/>
      <c r="S40" s="22"/>
      <c r="T40" s="22"/>
      <c r="U40" s="22"/>
    </row>
    <row r="41" spans="1:21" x14ac:dyDescent="0.25">
      <c r="A41" s="22"/>
      <c r="B41" s="22"/>
      <c r="C41" s="267"/>
      <c r="D41" s="22"/>
      <c r="E41" s="22"/>
      <c r="F41" s="22"/>
      <c r="G41" s="22"/>
      <c r="H41" s="22"/>
      <c r="I41" s="22"/>
      <c r="J41" s="22"/>
      <c r="K41" s="22"/>
      <c r="L41" s="22"/>
      <c r="M41" s="22"/>
      <c r="N41" s="22"/>
      <c r="O41" s="22"/>
      <c r="P41" s="22"/>
      <c r="Q41" s="22"/>
      <c r="R41" s="22"/>
      <c r="S41" s="22"/>
      <c r="T41" s="22"/>
      <c r="U41" s="22"/>
    </row>
    <row r="42" spans="1:21" x14ac:dyDescent="0.25">
      <c r="A42" s="22"/>
      <c r="B42" s="22"/>
      <c r="C42" s="267"/>
      <c r="D42" s="22"/>
      <c r="E42" s="22"/>
      <c r="F42" s="22"/>
      <c r="G42" s="22"/>
      <c r="H42" s="22"/>
      <c r="I42" s="22"/>
      <c r="J42" s="22"/>
      <c r="K42" s="22"/>
      <c r="L42" s="22"/>
      <c r="M42" s="22"/>
      <c r="N42" s="22"/>
      <c r="O42" s="22"/>
      <c r="P42" s="22"/>
      <c r="Q42" s="22"/>
      <c r="R42" s="22"/>
      <c r="S42" s="22"/>
      <c r="T42" s="22"/>
      <c r="U42" s="22"/>
    </row>
    <row r="43" spans="1:21" x14ac:dyDescent="0.25">
      <c r="A43" s="22"/>
      <c r="B43" s="22"/>
      <c r="C43" s="267"/>
      <c r="D43" s="22"/>
      <c r="E43" s="22"/>
      <c r="F43" s="22"/>
      <c r="G43" s="22"/>
      <c r="H43" s="22"/>
      <c r="I43" s="22"/>
      <c r="J43" s="22"/>
      <c r="K43" s="22"/>
      <c r="L43" s="22"/>
      <c r="M43" s="22"/>
      <c r="N43" s="22"/>
      <c r="O43" s="22"/>
      <c r="P43" s="22"/>
      <c r="Q43" s="22"/>
      <c r="R43" s="22"/>
      <c r="S43" s="22"/>
      <c r="T43" s="22"/>
      <c r="U43" s="22"/>
    </row>
    <row r="44" spans="1:21" x14ac:dyDescent="0.25">
      <c r="A44" s="22"/>
      <c r="B44" s="22"/>
      <c r="C44" s="267"/>
      <c r="D44" s="22"/>
      <c r="E44" s="22"/>
      <c r="F44" s="22"/>
      <c r="G44" s="22"/>
      <c r="H44" s="22"/>
      <c r="I44" s="22"/>
      <c r="J44" s="22"/>
      <c r="K44" s="22"/>
      <c r="L44" s="22"/>
      <c r="M44" s="22"/>
      <c r="N44" s="22"/>
      <c r="O44" s="22"/>
      <c r="P44" s="22"/>
      <c r="Q44" s="22"/>
      <c r="R44" s="22"/>
      <c r="S44" s="22"/>
      <c r="T44" s="22"/>
      <c r="U44" s="22"/>
    </row>
    <row r="45" spans="1:21" x14ac:dyDescent="0.25">
      <c r="A45" s="22"/>
      <c r="B45" s="22"/>
      <c r="C45" s="267"/>
      <c r="D45" s="22"/>
      <c r="E45" s="22"/>
      <c r="F45" s="22"/>
      <c r="G45" s="22"/>
      <c r="H45" s="22"/>
      <c r="I45" s="22"/>
      <c r="J45" s="22"/>
      <c r="K45" s="22"/>
      <c r="L45" s="22"/>
      <c r="M45" s="22"/>
      <c r="N45" s="22"/>
      <c r="O45" s="22"/>
      <c r="P45" s="22"/>
      <c r="Q45" s="22"/>
      <c r="R45" s="22"/>
      <c r="S45" s="22"/>
      <c r="T45" s="22"/>
      <c r="U45" s="22"/>
    </row>
    <row r="46" spans="1:21" x14ac:dyDescent="0.25">
      <c r="A46" s="22"/>
      <c r="B46" s="22"/>
      <c r="C46" s="267"/>
      <c r="D46" s="22"/>
      <c r="E46" s="22"/>
      <c r="F46" s="22"/>
      <c r="G46" s="22"/>
      <c r="H46" s="22"/>
      <c r="I46" s="22"/>
      <c r="J46" s="22"/>
      <c r="K46" s="22"/>
      <c r="L46" s="22"/>
      <c r="M46" s="22"/>
      <c r="N46" s="22"/>
      <c r="O46" s="22"/>
      <c r="P46" s="22"/>
      <c r="Q46" s="22"/>
      <c r="R46" s="22"/>
      <c r="S46" s="22"/>
      <c r="T46" s="22"/>
      <c r="U46" s="22"/>
    </row>
    <row r="47" spans="1:21" x14ac:dyDescent="0.25">
      <c r="A47" s="22"/>
      <c r="B47" s="22"/>
      <c r="C47" s="267"/>
      <c r="D47" s="22"/>
      <c r="E47" s="22"/>
      <c r="F47" s="22"/>
      <c r="G47" s="22"/>
      <c r="H47" s="22"/>
      <c r="I47" s="22"/>
      <c r="J47" s="22"/>
      <c r="K47" s="22"/>
      <c r="L47" s="22"/>
      <c r="M47" s="22"/>
      <c r="N47" s="22"/>
      <c r="O47" s="22"/>
      <c r="P47" s="22"/>
      <c r="Q47" s="22"/>
      <c r="R47" s="22"/>
      <c r="S47" s="22"/>
      <c r="T47" s="22"/>
      <c r="U47" s="22"/>
    </row>
    <row r="48" spans="1:21" x14ac:dyDescent="0.25">
      <c r="A48" s="22"/>
      <c r="B48" s="22"/>
      <c r="C48" s="267"/>
      <c r="D48" s="22"/>
      <c r="E48" s="22"/>
      <c r="F48" s="22"/>
      <c r="G48" s="22"/>
      <c r="H48" s="22"/>
      <c r="I48" s="22"/>
      <c r="J48" s="22"/>
      <c r="K48" s="22"/>
      <c r="L48" s="22"/>
      <c r="M48" s="22"/>
      <c r="N48" s="22"/>
      <c r="O48" s="22"/>
      <c r="P48" s="22"/>
      <c r="Q48" s="22"/>
      <c r="R48" s="22"/>
      <c r="S48" s="22"/>
      <c r="T48" s="22"/>
      <c r="U48" s="22"/>
    </row>
    <row r="49" spans="1:21" x14ac:dyDescent="0.25">
      <c r="A49" s="22"/>
      <c r="B49" s="22"/>
      <c r="C49" s="267"/>
      <c r="D49" s="22"/>
      <c r="E49" s="22"/>
      <c r="F49" s="22"/>
      <c r="G49" s="22"/>
      <c r="H49" s="22"/>
      <c r="I49" s="22"/>
      <c r="J49" s="22"/>
      <c r="K49" s="22"/>
      <c r="L49" s="22"/>
      <c r="M49" s="22"/>
      <c r="N49" s="22"/>
      <c r="O49" s="22"/>
      <c r="P49" s="22"/>
      <c r="Q49" s="22"/>
      <c r="R49" s="22"/>
      <c r="S49" s="22"/>
      <c r="T49" s="22"/>
      <c r="U49" s="22"/>
    </row>
    <row r="50" spans="1:21" x14ac:dyDescent="0.25">
      <c r="A50" s="22"/>
      <c r="B50" s="22"/>
      <c r="C50" s="267"/>
      <c r="D50" s="22"/>
      <c r="E50" s="22"/>
      <c r="F50" s="22"/>
      <c r="G50" s="22"/>
      <c r="H50" s="22"/>
      <c r="I50" s="22"/>
      <c r="J50" s="22"/>
      <c r="K50" s="22"/>
      <c r="L50" s="22"/>
      <c r="M50" s="22"/>
      <c r="N50" s="22"/>
      <c r="O50" s="22"/>
      <c r="P50" s="22"/>
      <c r="Q50" s="22"/>
      <c r="R50" s="22"/>
      <c r="S50" s="22"/>
      <c r="T50" s="22"/>
      <c r="U50" s="22"/>
    </row>
    <row r="51" spans="1:21" x14ac:dyDescent="0.25">
      <c r="A51" s="22"/>
      <c r="B51" s="22"/>
      <c r="C51" s="267"/>
      <c r="D51" s="22"/>
      <c r="E51" s="22"/>
      <c r="F51" s="22"/>
      <c r="G51" s="22"/>
      <c r="H51" s="22"/>
      <c r="I51" s="22"/>
      <c r="J51" s="22"/>
      <c r="K51" s="22"/>
      <c r="L51" s="22"/>
      <c r="M51" s="22"/>
      <c r="N51" s="22"/>
      <c r="O51" s="22"/>
      <c r="P51" s="22"/>
      <c r="Q51" s="22"/>
      <c r="R51" s="22"/>
      <c r="S51" s="22"/>
      <c r="T51" s="22"/>
      <c r="U51" s="22"/>
    </row>
    <row r="52" spans="1:21" x14ac:dyDescent="0.25">
      <c r="A52" s="22"/>
      <c r="B52" s="22"/>
      <c r="C52" s="267"/>
      <c r="D52" s="22"/>
      <c r="E52" s="22"/>
      <c r="F52" s="22"/>
      <c r="G52" s="22"/>
      <c r="H52" s="22"/>
      <c r="I52" s="22"/>
      <c r="J52" s="22"/>
      <c r="K52" s="22"/>
      <c r="L52" s="22"/>
      <c r="M52" s="22"/>
      <c r="N52" s="22"/>
      <c r="O52" s="22"/>
      <c r="P52" s="22"/>
      <c r="Q52" s="22"/>
      <c r="R52" s="22"/>
      <c r="S52" s="22"/>
      <c r="T52" s="22"/>
      <c r="U52" s="22"/>
    </row>
    <row r="53" spans="1:21" x14ac:dyDescent="0.25">
      <c r="A53" s="22"/>
      <c r="B53" s="22"/>
      <c r="C53" s="267"/>
      <c r="D53" s="22"/>
      <c r="E53" s="22"/>
      <c r="F53" s="22"/>
      <c r="G53" s="22"/>
      <c r="H53" s="22"/>
      <c r="I53" s="22"/>
      <c r="J53" s="22"/>
      <c r="K53" s="22"/>
      <c r="L53" s="22"/>
      <c r="M53" s="22"/>
      <c r="N53" s="22"/>
      <c r="O53" s="22"/>
      <c r="P53" s="22"/>
      <c r="Q53" s="22"/>
      <c r="R53" s="22"/>
      <c r="S53" s="22"/>
      <c r="T53" s="22"/>
      <c r="U53" s="22"/>
    </row>
    <row r="54" spans="1:21" x14ac:dyDescent="0.25">
      <c r="A54" s="22"/>
      <c r="B54" s="22"/>
      <c r="C54" s="267"/>
      <c r="D54" s="22"/>
      <c r="E54" s="22"/>
      <c r="F54" s="22"/>
      <c r="G54" s="22"/>
      <c r="H54" s="22"/>
      <c r="I54" s="22"/>
      <c r="J54" s="22"/>
      <c r="K54" s="22"/>
      <c r="L54" s="22"/>
      <c r="M54" s="22"/>
      <c r="N54" s="22"/>
      <c r="O54" s="22"/>
      <c r="P54" s="22"/>
      <c r="Q54" s="22"/>
      <c r="R54" s="22"/>
      <c r="S54" s="22"/>
      <c r="T54" s="22"/>
      <c r="U54" s="22"/>
    </row>
    <row r="55" spans="1:21" x14ac:dyDescent="0.25">
      <c r="A55" s="22"/>
      <c r="B55" s="22"/>
      <c r="C55" s="267"/>
      <c r="D55" s="22"/>
      <c r="E55" s="22"/>
      <c r="F55" s="22"/>
      <c r="G55" s="22"/>
      <c r="H55" s="22"/>
      <c r="I55" s="22"/>
      <c r="J55" s="22"/>
      <c r="K55" s="22"/>
      <c r="L55" s="22"/>
      <c r="M55" s="22"/>
      <c r="N55" s="22"/>
      <c r="O55" s="22"/>
      <c r="P55" s="22"/>
      <c r="Q55" s="22"/>
      <c r="R55" s="22"/>
      <c r="S55" s="22"/>
      <c r="T55" s="22"/>
      <c r="U55" s="22"/>
    </row>
    <row r="56" spans="1:21" x14ac:dyDescent="0.25">
      <c r="A56" s="22"/>
      <c r="B56" s="22"/>
      <c r="C56" s="267"/>
      <c r="D56" s="22"/>
      <c r="E56" s="22"/>
      <c r="F56" s="22"/>
      <c r="G56" s="22"/>
      <c r="H56" s="22"/>
      <c r="I56" s="22"/>
      <c r="J56" s="22"/>
      <c r="K56" s="22"/>
      <c r="L56" s="22"/>
      <c r="M56" s="22"/>
      <c r="N56" s="22"/>
      <c r="O56" s="22"/>
      <c r="P56" s="22"/>
      <c r="Q56" s="22"/>
      <c r="R56" s="22"/>
      <c r="S56" s="22"/>
      <c r="T56" s="22"/>
      <c r="U56" s="22"/>
    </row>
    <row r="57" spans="1:21" x14ac:dyDescent="0.25">
      <c r="A57" s="22"/>
      <c r="B57" s="22"/>
      <c r="C57" s="267"/>
      <c r="D57" s="22"/>
      <c r="E57" s="22"/>
      <c r="F57" s="22"/>
      <c r="G57" s="22"/>
      <c r="H57" s="22"/>
      <c r="I57" s="22"/>
      <c r="J57" s="22"/>
      <c r="K57" s="22"/>
      <c r="L57" s="22"/>
      <c r="M57" s="22"/>
      <c r="N57" s="22"/>
      <c r="O57" s="22"/>
      <c r="P57" s="22"/>
      <c r="Q57" s="22"/>
      <c r="R57" s="22"/>
      <c r="S57" s="22"/>
      <c r="T57" s="22"/>
      <c r="U57" s="22"/>
    </row>
    <row r="58" spans="1:21" x14ac:dyDescent="0.25">
      <c r="A58" s="22"/>
      <c r="B58" s="22"/>
      <c r="C58" s="267"/>
      <c r="D58" s="22"/>
      <c r="E58" s="22"/>
      <c r="F58" s="22"/>
      <c r="G58" s="22"/>
      <c r="H58" s="22"/>
      <c r="I58" s="22"/>
      <c r="J58" s="22"/>
      <c r="K58" s="22"/>
      <c r="L58" s="22"/>
      <c r="M58" s="22"/>
      <c r="N58" s="22"/>
      <c r="O58" s="22"/>
      <c r="P58" s="22"/>
      <c r="Q58" s="22"/>
      <c r="R58" s="22"/>
      <c r="S58" s="22"/>
      <c r="T58" s="22"/>
      <c r="U58" s="22"/>
    </row>
    <row r="59" spans="1:21" x14ac:dyDescent="0.25">
      <c r="A59" s="22"/>
      <c r="B59" s="22"/>
      <c r="C59" s="267"/>
      <c r="D59" s="22"/>
      <c r="E59" s="22"/>
      <c r="F59" s="22"/>
      <c r="G59" s="22"/>
      <c r="H59" s="22"/>
      <c r="I59" s="22"/>
      <c r="J59" s="22"/>
      <c r="K59" s="22"/>
      <c r="L59" s="22"/>
      <c r="M59" s="22"/>
      <c r="N59" s="22"/>
      <c r="O59" s="22"/>
      <c r="P59" s="22"/>
      <c r="Q59" s="22"/>
      <c r="R59" s="22"/>
      <c r="S59" s="22"/>
      <c r="T59" s="22"/>
      <c r="U59" s="22"/>
    </row>
    <row r="60" spans="1:21" x14ac:dyDescent="0.25">
      <c r="A60" s="22"/>
      <c r="B60" s="22"/>
      <c r="C60" s="267"/>
      <c r="D60" s="22"/>
      <c r="E60" s="22"/>
      <c r="F60" s="22"/>
      <c r="G60" s="22"/>
      <c r="H60" s="22"/>
      <c r="I60" s="22"/>
      <c r="J60" s="22"/>
      <c r="K60" s="22"/>
      <c r="L60" s="22"/>
      <c r="M60" s="22"/>
      <c r="N60" s="22"/>
      <c r="O60" s="22"/>
      <c r="P60" s="22"/>
      <c r="Q60" s="22"/>
      <c r="R60" s="22"/>
      <c r="S60" s="22"/>
      <c r="T60" s="22"/>
      <c r="U60" s="22"/>
    </row>
    <row r="61" spans="1:21" x14ac:dyDescent="0.25">
      <c r="A61" s="22"/>
      <c r="B61" s="22"/>
      <c r="C61" s="267"/>
      <c r="D61" s="22"/>
      <c r="E61" s="22"/>
      <c r="F61" s="22"/>
      <c r="G61" s="22"/>
      <c r="H61" s="22"/>
      <c r="I61" s="22"/>
      <c r="J61" s="22"/>
      <c r="K61" s="22"/>
      <c r="L61" s="22"/>
      <c r="M61" s="22"/>
      <c r="N61" s="22"/>
      <c r="O61" s="22"/>
      <c r="P61" s="22"/>
      <c r="Q61" s="22"/>
      <c r="R61" s="22"/>
      <c r="S61" s="22"/>
      <c r="T61" s="22"/>
      <c r="U61" s="22"/>
    </row>
    <row r="62" spans="1:21" x14ac:dyDescent="0.25">
      <c r="A62" s="22"/>
      <c r="B62" s="22"/>
      <c r="C62" s="267"/>
      <c r="D62" s="22"/>
      <c r="E62" s="22"/>
      <c r="F62" s="22"/>
      <c r="G62" s="22"/>
      <c r="H62" s="22"/>
      <c r="I62" s="22"/>
      <c r="J62" s="22"/>
      <c r="K62" s="22"/>
      <c r="L62" s="22"/>
      <c r="M62" s="22"/>
      <c r="N62" s="22"/>
      <c r="O62" s="22"/>
      <c r="P62" s="22"/>
      <c r="Q62" s="22"/>
      <c r="R62" s="22"/>
      <c r="S62" s="22"/>
      <c r="T62" s="22"/>
      <c r="U62" s="22"/>
    </row>
    <row r="63" spans="1:21" x14ac:dyDescent="0.25">
      <c r="A63" s="22"/>
      <c r="B63" s="22"/>
      <c r="C63" s="267"/>
      <c r="D63" s="22"/>
      <c r="E63" s="22"/>
      <c r="F63" s="22"/>
      <c r="G63" s="22"/>
      <c r="H63" s="22"/>
      <c r="I63" s="22"/>
      <c r="J63" s="22"/>
      <c r="K63" s="22"/>
      <c r="L63" s="22"/>
      <c r="M63" s="22"/>
      <c r="N63" s="22"/>
      <c r="O63" s="22"/>
      <c r="P63" s="22"/>
      <c r="Q63" s="22"/>
      <c r="R63" s="22"/>
      <c r="S63" s="22"/>
      <c r="T63" s="22"/>
      <c r="U63" s="22"/>
    </row>
    <row r="64" spans="1:21" x14ac:dyDescent="0.25">
      <c r="A64" s="22"/>
      <c r="B64" s="22"/>
      <c r="C64" s="267"/>
      <c r="D64" s="22"/>
      <c r="E64" s="22"/>
      <c r="F64" s="22"/>
      <c r="G64" s="22"/>
      <c r="H64" s="22"/>
      <c r="I64" s="22"/>
      <c r="J64" s="22"/>
      <c r="K64" s="22"/>
      <c r="L64" s="22"/>
      <c r="M64" s="22"/>
      <c r="N64" s="22"/>
      <c r="O64" s="22"/>
      <c r="P64" s="22"/>
      <c r="Q64" s="22"/>
      <c r="R64" s="22"/>
      <c r="S64" s="22"/>
      <c r="T64" s="22"/>
      <c r="U64" s="22"/>
    </row>
    <row r="65" spans="1:21" x14ac:dyDescent="0.25">
      <c r="A65" s="22"/>
      <c r="B65" s="22"/>
      <c r="C65" s="267"/>
      <c r="D65" s="22"/>
      <c r="E65" s="22"/>
      <c r="F65" s="22"/>
      <c r="G65" s="22"/>
      <c r="H65" s="22"/>
      <c r="I65" s="22"/>
      <c r="J65" s="22"/>
      <c r="K65" s="22"/>
      <c r="L65" s="22"/>
      <c r="M65" s="22"/>
      <c r="N65" s="22"/>
      <c r="O65" s="22"/>
      <c r="P65" s="22"/>
      <c r="Q65" s="22"/>
      <c r="R65" s="22"/>
      <c r="S65" s="22"/>
      <c r="T65" s="22"/>
      <c r="U65" s="22"/>
    </row>
    <row r="66" spans="1:21" x14ac:dyDescent="0.25">
      <c r="A66" s="22"/>
      <c r="B66" s="22"/>
      <c r="C66" s="267"/>
      <c r="D66" s="22"/>
      <c r="E66" s="22"/>
      <c r="F66" s="22"/>
      <c r="G66" s="22"/>
      <c r="H66" s="22"/>
      <c r="I66" s="22"/>
      <c r="J66" s="22"/>
      <c r="K66" s="22"/>
      <c r="L66" s="22"/>
      <c r="M66" s="22"/>
      <c r="N66" s="22"/>
      <c r="O66" s="22"/>
      <c r="P66" s="22"/>
      <c r="Q66" s="22"/>
      <c r="R66" s="22"/>
      <c r="S66" s="22"/>
      <c r="T66" s="22"/>
      <c r="U66" s="22"/>
    </row>
    <row r="67" spans="1:21" x14ac:dyDescent="0.25">
      <c r="A67" s="22"/>
      <c r="B67" s="22"/>
      <c r="C67" s="267"/>
      <c r="D67" s="22"/>
      <c r="E67" s="22"/>
      <c r="F67" s="22"/>
      <c r="G67" s="22"/>
      <c r="H67" s="22"/>
      <c r="I67" s="22"/>
      <c r="J67" s="22"/>
      <c r="K67" s="22"/>
      <c r="L67" s="22"/>
      <c r="M67" s="22"/>
      <c r="N67" s="22"/>
      <c r="O67" s="22"/>
      <c r="P67" s="22"/>
      <c r="Q67" s="22"/>
      <c r="R67" s="22"/>
      <c r="S67" s="22"/>
      <c r="T67" s="22"/>
      <c r="U67" s="22"/>
    </row>
    <row r="68" spans="1:21" x14ac:dyDescent="0.25">
      <c r="A68" s="22"/>
      <c r="B68" s="22"/>
      <c r="C68" s="267"/>
      <c r="D68" s="22"/>
      <c r="E68" s="22"/>
      <c r="F68" s="22"/>
      <c r="G68" s="22"/>
      <c r="H68" s="22"/>
      <c r="I68" s="22"/>
      <c r="J68" s="22"/>
      <c r="K68" s="22"/>
      <c r="L68" s="22"/>
      <c r="M68" s="22"/>
      <c r="N68" s="22"/>
      <c r="O68" s="22"/>
      <c r="P68" s="22"/>
      <c r="Q68" s="22"/>
      <c r="R68" s="22"/>
      <c r="S68" s="22"/>
      <c r="T68" s="22"/>
      <c r="U68" s="22"/>
    </row>
    <row r="69" spans="1:21" x14ac:dyDescent="0.25">
      <c r="A69" s="22"/>
      <c r="B69" s="22"/>
      <c r="C69" s="267"/>
      <c r="D69" s="22"/>
      <c r="E69" s="22"/>
      <c r="F69" s="22"/>
      <c r="G69" s="22"/>
      <c r="H69" s="22"/>
      <c r="I69" s="22"/>
      <c r="J69" s="22"/>
      <c r="K69" s="22"/>
      <c r="L69" s="22"/>
      <c r="M69" s="22"/>
      <c r="N69" s="22"/>
      <c r="O69" s="22"/>
      <c r="P69" s="22"/>
      <c r="Q69" s="22"/>
      <c r="R69" s="22"/>
      <c r="S69" s="22"/>
      <c r="T69" s="22"/>
      <c r="U69" s="22"/>
    </row>
    <row r="70" spans="1:21" x14ac:dyDescent="0.25">
      <c r="A70" s="22"/>
      <c r="B70" s="22"/>
      <c r="C70" s="267"/>
      <c r="D70" s="22"/>
      <c r="E70" s="22"/>
      <c r="F70" s="22"/>
      <c r="G70" s="22"/>
      <c r="H70" s="22"/>
      <c r="I70" s="22"/>
      <c r="J70" s="22"/>
      <c r="K70" s="22"/>
      <c r="L70" s="22"/>
      <c r="M70" s="22"/>
      <c r="N70" s="22"/>
      <c r="O70" s="22"/>
      <c r="P70" s="22"/>
      <c r="Q70" s="22"/>
      <c r="R70" s="22"/>
      <c r="S70" s="22"/>
      <c r="T70" s="22"/>
      <c r="U70" s="22"/>
    </row>
    <row r="71" spans="1:21" x14ac:dyDescent="0.25">
      <c r="A71" s="22"/>
      <c r="B71" s="22"/>
      <c r="C71" s="267"/>
      <c r="D71" s="22"/>
      <c r="E71" s="22"/>
      <c r="F71" s="22"/>
      <c r="G71" s="22"/>
      <c r="H71" s="22"/>
      <c r="I71" s="22"/>
      <c r="J71" s="22"/>
      <c r="K71" s="22"/>
      <c r="L71" s="22"/>
      <c r="M71" s="22"/>
      <c r="N71" s="22"/>
      <c r="O71" s="22"/>
      <c r="P71" s="22"/>
      <c r="Q71" s="22"/>
      <c r="R71" s="22"/>
      <c r="S71" s="22"/>
      <c r="T71" s="22"/>
      <c r="U71" s="22"/>
    </row>
    <row r="72" spans="1:21" x14ac:dyDescent="0.25">
      <c r="A72" s="22"/>
      <c r="B72" s="22"/>
      <c r="C72" s="267"/>
      <c r="D72" s="22"/>
      <c r="E72" s="22"/>
      <c r="F72" s="22"/>
      <c r="G72" s="22"/>
      <c r="H72" s="22"/>
      <c r="I72" s="22"/>
      <c r="J72" s="22"/>
      <c r="K72" s="22"/>
      <c r="L72" s="22"/>
      <c r="M72" s="22"/>
      <c r="N72" s="22"/>
      <c r="O72" s="22"/>
      <c r="P72" s="22"/>
      <c r="Q72" s="22"/>
      <c r="R72" s="22"/>
      <c r="S72" s="22"/>
      <c r="T72" s="22"/>
      <c r="U72" s="22"/>
    </row>
    <row r="73" spans="1:21" x14ac:dyDescent="0.25">
      <c r="A73" s="22"/>
      <c r="B73" s="22"/>
      <c r="C73" s="267"/>
      <c r="D73" s="22"/>
      <c r="E73" s="22"/>
      <c r="F73" s="22"/>
      <c r="G73" s="22"/>
      <c r="H73" s="22"/>
      <c r="I73" s="22"/>
      <c r="J73" s="22"/>
      <c r="K73" s="22"/>
      <c r="L73" s="22"/>
      <c r="M73" s="22"/>
      <c r="N73" s="22"/>
      <c r="O73" s="22"/>
      <c r="P73" s="22"/>
      <c r="Q73" s="22"/>
      <c r="R73" s="22"/>
      <c r="S73" s="22"/>
      <c r="T73" s="22"/>
      <c r="U73" s="22"/>
    </row>
    <row r="74" spans="1:21" x14ac:dyDescent="0.25">
      <c r="A74" s="22"/>
      <c r="B74" s="22"/>
      <c r="C74" s="267"/>
      <c r="D74" s="22"/>
      <c r="E74" s="22"/>
      <c r="F74" s="22"/>
      <c r="G74" s="22"/>
      <c r="H74" s="22"/>
      <c r="I74" s="22"/>
      <c r="J74" s="22"/>
      <c r="K74" s="22"/>
      <c r="L74" s="22"/>
      <c r="M74" s="22"/>
      <c r="N74" s="22"/>
      <c r="O74" s="22"/>
      <c r="P74" s="22"/>
      <c r="Q74" s="22"/>
      <c r="R74" s="22"/>
      <c r="S74" s="22"/>
      <c r="T74" s="22"/>
      <c r="U74" s="22"/>
    </row>
    <row r="75" spans="1:21" x14ac:dyDescent="0.25">
      <c r="A75" s="22"/>
      <c r="B75" s="22"/>
      <c r="C75" s="267"/>
      <c r="D75" s="22"/>
      <c r="E75" s="22"/>
      <c r="F75" s="22"/>
      <c r="G75" s="22"/>
      <c r="H75" s="22"/>
      <c r="I75" s="22"/>
      <c r="J75" s="22"/>
      <c r="K75" s="22"/>
      <c r="L75" s="22"/>
      <c r="M75" s="22"/>
      <c r="N75" s="22"/>
      <c r="O75" s="22"/>
      <c r="P75" s="22"/>
      <c r="Q75" s="22"/>
      <c r="R75" s="22"/>
      <c r="S75" s="22"/>
      <c r="T75" s="22"/>
      <c r="U75" s="22"/>
    </row>
    <row r="76" spans="1:21" x14ac:dyDescent="0.25">
      <c r="A76" s="22"/>
      <c r="B76" s="22"/>
      <c r="C76" s="267"/>
      <c r="D76" s="22"/>
      <c r="E76" s="22"/>
      <c r="F76" s="22"/>
      <c r="G76" s="22"/>
      <c r="H76" s="22"/>
      <c r="I76" s="22"/>
      <c r="J76" s="22"/>
      <c r="K76" s="22"/>
      <c r="L76" s="22"/>
      <c r="M76" s="22"/>
      <c r="N76" s="22"/>
      <c r="O76" s="22"/>
      <c r="P76" s="22"/>
      <c r="Q76" s="22"/>
      <c r="R76" s="22"/>
      <c r="S76" s="22"/>
      <c r="T76" s="22"/>
      <c r="U76" s="22"/>
    </row>
    <row r="77" spans="1:21" x14ac:dyDescent="0.25">
      <c r="A77" s="22"/>
      <c r="B77" s="22"/>
      <c r="C77" s="267"/>
      <c r="D77" s="22"/>
      <c r="E77" s="22"/>
      <c r="F77" s="22"/>
      <c r="G77" s="22"/>
      <c r="H77" s="22"/>
      <c r="I77" s="22"/>
      <c r="J77" s="22"/>
      <c r="K77" s="22"/>
      <c r="L77" s="22"/>
      <c r="M77" s="22"/>
      <c r="N77" s="22"/>
      <c r="O77" s="22"/>
      <c r="P77" s="22"/>
      <c r="Q77" s="22"/>
      <c r="R77" s="22"/>
      <c r="S77" s="22"/>
      <c r="T77" s="22"/>
      <c r="U77" s="22"/>
    </row>
    <row r="78" spans="1:21" x14ac:dyDescent="0.25">
      <c r="A78" s="22"/>
      <c r="B78" s="22"/>
      <c r="C78" s="267"/>
      <c r="D78" s="22"/>
      <c r="E78" s="22"/>
      <c r="F78" s="22"/>
      <c r="G78" s="22"/>
      <c r="H78" s="22"/>
      <c r="I78" s="22"/>
      <c r="J78" s="22"/>
      <c r="K78" s="22"/>
      <c r="L78" s="22"/>
      <c r="M78" s="22"/>
      <c r="N78" s="22"/>
      <c r="O78" s="22"/>
      <c r="P78" s="22"/>
      <c r="Q78" s="22"/>
      <c r="R78" s="22"/>
      <c r="S78" s="22"/>
      <c r="T78" s="22"/>
      <c r="U78" s="22"/>
    </row>
    <row r="79" spans="1:21" x14ac:dyDescent="0.25">
      <c r="A79" s="22"/>
      <c r="B79" s="22"/>
      <c r="C79" s="267"/>
      <c r="D79" s="22"/>
      <c r="E79" s="22"/>
      <c r="F79" s="22"/>
      <c r="G79" s="22"/>
      <c r="H79" s="22"/>
      <c r="I79" s="22"/>
      <c r="J79" s="22"/>
      <c r="K79" s="22"/>
      <c r="L79" s="22"/>
      <c r="M79" s="22"/>
      <c r="N79" s="22"/>
      <c r="O79" s="22"/>
      <c r="P79" s="22"/>
      <c r="Q79" s="22"/>
      <c r="R79" s="22"/>
      <c r="S79" s="22"/>
      <c r="T79" s="22"/>
      <c r="U79" s="22"/>
    </row>
    <row r="80" spans="1:21" x14ac:dyDescent="0.25">
      <c r="A80" s="22"/>
      <c r="B80" s="22"/>
      <c r="C80" s="267"/>
      <c r="D80" s="22"/>
      <c r="E80" s="22"/>
      <c r="F80" s="22"/>
      <c r="G80" s="22"/>
      <c r="H80" s="22"/>
      <c r="I80" s="22"/>
      <c r="J80" s="22"/>
      <c r="K80" s="22"/>
      <c r="L80" s="22"/>
      <c r="M80" s="22"/>
      <c r="N80" s="22"/>
      <c r="O80" s="22"/>
      <c r="P80" s="22"/>
      <c r="Q80" s="22"/>
      <c r="R80" s="22"/>
      <c r="S80" s="22"/>
      <c r="T80" s="22"/>
      <c r="U80" s="22"/>
    </row>
    <row r="81" spans="1:21" x14ac:dyDescent="0.25">
      <c r="A81" s="22"/>
      <c r="B81" s="22"/>
      <c r="C81" s="267"/>
      <c r="D81" s="22"/>
      <c r="E81" s="22"/>
      <c r="F81" s="22"/>
      <c r="G81" s="22"/>
      <c r="H81" s="22"/>
      <c r="I81" s="22"/>
      <c r="J81" s="22"/>
      <c r="K81" s="22"/>
      <c r="L81" s="22"/>
      <c r="M81" s="22"/>
      <c r="N81" s="22"/>
      <c r="O81" s="22"/>
      <c r="P81" s="22"/>
      <c r="Q81" s="22"/>
      <c r="R81" s="22"/>
      <c r="S81" s="22"/>
      <c r="T81" s="22"/>
      <c r="U81" s="22"/>
    </row>
    <row r="82" spans="1:21" x14ac:dyDescent="0.25">
      <c r="A82" s="22"/>
      <c r="B82" s="22"/>
      <c r="C82" s="267"/>
      <c r="D82" s="22"/>
      <c r="E82" s="22"/>
      <c r="F82" s="22"/>
      <c r="G82" s="22"/>
      <c r="H82" s="22"/>
      <c r="I82" s="22"/>
      <c r="J82" s="22"/>
      <c r="K82" s="22"/>
      <c r="L82" s="22"/>
      <c r="M82" s="22"/>
      <c r="N82" s="22"/>
      <c r="O82" s="22"/>
      <c r="P82" s="22"/>
      <c r="Q82" s="22"/>
      <c r="R82" s="22"/>
      <c r="S82" s="22"/>
      <c r="T82" s="22"/>
      <c r="U82" s="22"/>
    </row>
    <row r="83" spans="1:21" x14ac:dyDescent="0.25">
      <c r="A83" s="22"/>
      <c r="B83" s="22"/>
      <c r="C83" s="267"/>
      <c r="D83" s="22"/>
      <c r="E83" s="22"/>
      <c r="F83" s="22"/>
      <c r="G83" s="22"/>
      <c r="H83" s="22"/>
      <c r="I83" s="22"/>
      <c r="J83" s="22"/>
      <c r="K83" s="22"/>
      <c r="L83" s="22"/>
      <c r="M83" s="22"/>
      <c r="N83" s="22"/>
      <c r="O83" s="22"/>
      <c r="P83" s="22"/>
      <c r="Q83" s="22"/>
      <c r="R83" s="22"/>
      <c r="S83" s="22"/>
      <c r="T83" s="22"/>
      <c r="U83" s="22"/>
    </row>
    <row r="84" spans="1:21" x14ac:dyDescent="0.25">
      <c r="A84" s="22"/>
      <c r="B84" s="22"/>
      <c r="C84" s="267"/>
      <c r="D84" s="22"/>
      <c r="E84" s="22"/>
      <c r="F84" s="22"/>
      <c r="G84" s="22"/>
      <c r="H84" s="22"/>
      <c r="I84" s="22"/>
      <c r="J84" s="22"/>
      <c r="K84" s="22"/>
      <c r="L84" s="22"/>
      <c r="M84" s="22"/>
      <c r="N84" s="22"/>
      <c r="O84" s="22"/>
      <c r="P84" s="22"/>
      <c r="Q84" s="22"/>
      <c r="R84" s="22"/>
      <c r="S84" s="22"/>
      <c r="T84" s="22"/>
      <c r="U84" s="22"/>
    </row>
    <row r="85" spans="1:21" x14ac:dyDescent="0.25">
      <c r="A85" s="22"/>
      <c r="B85" s="22"/>
      <c r="C85" s="267"/>
      <c r="D85" s="22"/>
      <c r="E85" s="22"/>
      <c r="F85" s="22"/>
      <c r="G85" s="22"/>
      <c r="H85" s="22"/>
      <c r="I85" s="22"/>
      <c r="J85" s="22"/>
      <c r="K85" s="22"/>
      <c r="L85" s="22"/>
      <c r="M85" s="22"/>
      <c r="N85" s="22"/>
      <c r="O85" s="22"/>
      <c r="P85" s="22"/>
      <c r="Q85" s="22"/>
      <c r="R85" s="22"/>
      <c r="S85" s="22"/>
      <c r="T85" s="22"/>
      <c r="U85" s="22"/>
    </row>
    <row r="86" spans="1:21" x14ac:dyDescent="0.25">
      <c r="A86" s="22"/>
      <c r="B86" s="22"/>
      <c r="C86" s="267"/>
      <c r="D86" s="22"/>
      <c r="E86" s="22"/>
      <c r="F86" s="22"/>
      <c r="G86" s="22"/>
      <c r="H86" s="22"/>
      <c r="I86" s="22"/>
      <c r="J86" s="22"/>
      <c r="K86" s="22"/>
      <c r="L86" s="22"/>
      <c r="M86" s="22"/>
      <c r="N86" s="22"/>
      <c r="O86" s="22"/>
      <c r="P86" s="22"/>
      <c r="Q86" s="22"/>
      <c r="R86" s="22"/>
      <c r="S86" s="22"/>
      <c r="T86" s="22"/>
      <c r="U86" s="22"/>
    </row>
    <row r="87" spans="1:21" x14ac:dyDescent="0.25">
      <c r="A87" s="22"/>
      <c r="B87" s="22"/>
      <c r="C87" s="267"/>
      <c r="D87" s="22"/>
      <c r="E87" s="22"/>
      <c r="F87" s="22"/>
      <c r="G87" s="22"/>
      <c r="H87" s="22"/>
      <c r="I87" s="22"/>
      <c r="J87" s="22"/>
      <c r="K87" s="22"/>
      <c r="L87" s="22"/>
      <c r="M87" s="22"/>
      <c r="N87" s="22"/>
      <c r="O87" s="22"/>
      <c r="P87" s="22"/>
      <c r="Q87" s="22"/>
      <c r="R87" s="22"/>
      <c r="S87" s="22"/>
      <c r="T87" s="22"/>
      <c r="U87" s="22"/>
    </row>
    <row r="88" spans="1:21" x14ac:dyDescent="0.25">
      <c r="A88" s="22"/>
      <c r="B88" s="22"/>
      <c r="C88" s="267"/>
      <c r="D88" s="22"/>
      <c r="E88" s="22"/>
      <c r="F88" s="22"/>
      <c r="G88" s="22"/>
      <c r="H88" s="22"/>
      <c r="I88" s="22"/>
      <c r="J88" s="22"/>
      <c r="K88" s="22"/>
      <c r="L88" s="22"/>
      <c r="M88" s="22"/>
      <c r="N88" s="22"/>
      <c r="O88" s="22"/>
      <c r="P88" s="22"/>
      <c r="Q88" s="22"/>
      <c r="R88" s="22"/>
      <c r="S88" s="22"/>
      <c r="T88" s="22"/>
      <c r="U88" s="22"/>
    </row>
    <row r="89" spans="1:21" x14ac:dyDescent="0.25">
      <c r="A89" s="22"/>
      <c r="B89" s="22"/>
      <c r="C89" s="267"/>
      <c r="D89" s="22"/>
      <c r="E89" s="22"/>
      <c r="F89" s="22"/>
      <c r="G89" s="22"/>
      <c r="H89" s="22"/>
      <c r="I89" s="22"/>
      <c r="J89" s="22"/>
      <c r="K89" s="22"/>
      <c r="L89" s="22"/>
      <c r="M89" s="22"/>
      <c r="N89" s="22"/>
      <c r="O89" s="22"/>
      <c r="P89" s="22"/>
      <c r="Q89" s="22"/>
      <c r="R89" s="22"/>
      <c r="S89" s="22"/>
      <c r="T89" s="22"/>
      <c r="U89" s="22"/>
    </row>
    <row r="90" spans="1:21" x14ac:dyDescent="0.25">
      <c r="A90" s="22"/>
      <c r="B90" s="22"/>
      <c r="C90" s="267"/>
      <c r="D90" s="22"/>
      <c r="E90" s="22"/>
      <c r="F90" s="22"/>
      <c r="G90" s="22"/>
      <c r="H90" s="22"/>
      <c r="I90" s="22"/>
      <c r="J90" s="22"/>
      <c r="K90" s="22"/>
      <c r="L90" s="22"/>
      <c r="M90" s="22"/>
      <c r="N90" s="22"/>
      <c r="O90" s="22"/>
      <c r="P90" s="22"/>
      <c r="Q90" s="22"/>
      <c r="R90" s="22"/>
      <c r="S90" s="22"/>
      <c r="T90" s="22"/>
      <c r="U90" s="22"/>
    </row>
    <row r="91" spans="1:21" x14ac:dyDescent="0.25">
      <c r="A91" s="22"/>
      <c r="B91" s="22"/>
      <c r="C91" s="267"/>
      <c r="D91" s="22"/>
      <c r="E91" s="22"/>
      <c r="F91" s="22"/>
      <c r="G91" s="22"/>
      <c r="H91" s="22"/>
      <c r="I91" s="22"/>
      <c r="J91" s="22"/>
      <c r="K91" s="22"/>
      <c r="L91" s="22"/>
      <c r="M91" s="22"/>
      <c r="N91" s="22"/>
      <c r="O91" s="22"/>
      <c r="P91" s="22"/>
      <c r="Q91" s="22"/>
      <c r="R91" s="22"/>
      <c r="S91" s="22"/>
      <c r="T91" s="22"/>
      <c r="U91" s="22"/>
    </row>
    <row r="92" spans="1:21" x14ac:dyDescent="0.25">
      <c r="A92" s="22"/>
      <c r="B92" s="22"/>
      <c r="C92" s="267"/>
      <c r="D92" s="22"/>
      <c r="E92" s="22"/>
      <c r="F92" s="22"/>
      <c r="G92" s="22"/>
      <c r="H92" s="22"/>
      <c r="I92" s="22"/>
      <c r="J92" s="22"/>
      <c r="K92" s="22"/>
      <c r="L92" s="22"/>
      <c r="M92" s="22"/>
      <c r="N92" s="22"/>
      <c r="O92" s="22"/>
      <c r="P92" s="22"/>
      <c r="Q92" s="22"/>
      <c r="R92" s="22"/>
      <c r="S92" s="22"/>
      <c r="T92" s="22"/>
      <c r="U92" s="22"/>
    </row>
    <row r="93" spans="1:21" x14ac:dyDescent="0.25">
      <c r="A93" s="22"/>
      <c r="B93" s="22"/>
      <c r="C93" s="267"/>
      <c r="D93" s="22"/>
      <c r="E93" s="22"/>
      <c r="F93" s="22"/>
      <c r="G93" s="22"/>
      <c r="H93" s="22"/>
      <c r="I93" s="22"/>
      <c r="J93" s="22"/>
      <c r="K93" s="22"/>
      <c r="L93" s="22"/>
      <c r="M93" s="22"/>
      <c r="N93" s="22"/>
      <c r="O93" s="22"/>
      <c r="P93" s="22"/>
      <c r="Q93" s="22"/>
      <c r="R93" s="22"/>
      <c r="S93" s="22"/>
      <c r="T93" s="22"/>
      <c r="U93" s="22"/>
    </row>
    <row r="94" spans="1:21" x14ac:dyDescent="0.25">
      <c r="A94" s="22"/>
      <c r="B94" s="22"/>
      <c r="C94" s="267"/>
      <c r="D94" s="22"/>
      <c r="E94" s="22"/>
      <c r="F94" s="22"/>
      <c r="G94" s="22"/>
      <c r="H94" s="22"/>
      <c r="I94" s="22"/>
      <c r="J94" s="22"/>
      <c r="K94" s="22"/>
      <c r="L94" s="22"/>
      <c r="M94" s="22"/>
      <c r="N94" s="22"/>
      <c r="O94" s="22"/>
      <c r="P94" s="22"/>
      <c r="Q94" s="22"/>
      <c r="R94" s="22"/>
      <c r="S94" s="22"/>
      <c r="T94" s="22"/>
      <c r="U94" s="22"/>
    </row>
    <row r="95" spans="1:21" x14ac:dyDescent="0.25">
      <c r="A95" s="22"/>
      <c r="B95" s="22"/>
      <c r="C95" s="267"/>
      <c r="D95" s="22"/>
      <c r="E95" s="22"/>
      <c r="F95" s="22"/>
      <c r="G95" s="22"/>
      <c r="H95" s="22"/>
      <c r="I95" s="22"/>
      <c r="J95" s="22"/>
      <c r="K95" s="22"/>
      <c r="L95" s="22"/>
      <c r="M95" s="22"/>
      <c r="N95" s="22"/>
      <c r="O95" s="22"/>
      <c r="P95" s="22"/>
      <c r="Q95" s="22"/>
      <c r="R95" s="22"/>
      <c r="S95" s="22"/>
      <c r="T95" s="22"/>
      <c r="U95" s="22"/>
    </row>
    <row r="96" spans="1:21" x14ac:dyDescent="0.25">
      <c r="A96" s="22"/>
      <c r="B96" s="22"/>
      <c r="C96" s="267"/>
      <c r="D96" s="22"/>
      <c r="E96" s="22"/>
      <c r="F96" s="22"/>
      <c r="G96" s="22"/>
      <c r="H96" s="22"/>
      <c r="I96" s="22"/>
      <c r="J96" s="22"/>
      <c r="K96" s="22"/>
      <c r="L96" s="22"/>
      <c r="M96" s="22"/>
      <c r="N96" s="22"/>
      <c r="O96" s="22"/>
      <c r="P96" s="22"/>
      <c r="Q96" s="22"/>
      <c r="R96" s="22"/>
      <c r="S96" s="22"/>
      <c r="T96" s="22"/>
      <c r="U96" s="22"/>
    </row>
    <row r="97" spans="1:21" x14ac:dyDescent="0.25">
      <c r="A97" s="22"/>
      <c r="B97" s="22"/>
      <c r="C97" s="267"/>
      <c r="D97" s="22"/>
      <c r="E97" s="22"/>
      <c r="F97" s="22"/>
      <c r="G97" s="22"/>
      <c r="H97" s="22"/>
      <c r="I97" s="22"/>
      <c r="J97" s="22"/>
      <c r="K97" s="22"/>
      <c r="L97" s="22"/>
      <c r="M97" s="22"/>
      <c r="N97" s="22"/>
      <c r="O97" s="22"/>
      <c r="P97" s="22"/>
      <c r="Q97" s="22"/>
      <c r="R97" s="22"/>
      <c r="S97" s="22"/>
      <c r="T97" s="22"/>
      <c r="U97" s="22"/>
    </row>
    <row r="98" spans="1:21" x14ac:dyDescent="0.25">
      <c r="A98" s="22"/>
      <c r="B98" s="22"/>
      <c r="C98" s="267"/>
      <c r="D98" s="22"/>
      <c r="E98" s="22"/>
      <c r="F98" s="22"/>
      <c r="G98" s="22"/>
      <c r="H98" s="22"/>
      <c r="I98" s="22"/>
      <c r="J98" s="22"/>
      <c r="K98" s="22"/>
      <c r="L98" s="22"/>
      <c r="M98" s="22"/>
      <c r="N98" s="22"/>
      <c r="O98" s="22"/>
      <c r="P98" s="22"/>
      <c r="Q98" s="22"/>
      <c r="R98" s="22"/>
      <c r="S98" s="22"/>
      <c r="T98" s="22"/>
      <c r="U98" s="22"/>
    </row>
    <row r="99" spans="1:21" x14ac:dyDescent="0.25">
      <c r="A99" s="22"/>
      <c r="B99" s="22"/>
      <c r="C99" s="267"/>
      <c r="D99" s="22"/>
      <c r="E99" s="22"/>
      <c r="F99" s="22"/>
      <c r="G99" s="22"/>
      <c r="H99" s="22"/>
      <c r="I99" s="22"/>
      <c r="J99" s="22"/>
      <c r="K99" s="22"/>
      <c r="L99" s="22"/>
      <c r="M99" s="22"/>
      <c r="N99" s="22"/>
      <c r="O99" s="22"/>
      <c r="P99" s="22"/>
      <c r="Q99" s="22"/>
      <c r="R99" s="22"/>
      <c r="S99" s="22"/>
      <c r="T99" s="22"/>
      <c r="U99" s="22"/>
    </row>
    <row r="100" spans="1:21" x14ac:dyDescent="0.25">
      <c r="A100" s="22"/>
      <c r="B100" s="22"/>
      <c r="C100" s="26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75" zoomScaleNormal="80" zoomScaleSheetLayoutView="75" workbookViewId="0">
      <selection activeCell="B24" sqref="B24"/>
    </sheetView>
  </sheetViews>
  <sheetFormatPr defaultColWidth="9.140625" defaultRowHeight="15" x14ac:dyDescent="0.25"/>
  <cols>
    <col min="1" max="1" width="17.7109375" style="315" customWidth="1"/>
    <col min="2" max="2" width="30.140625" style="315" customWidth="1"/>
    <col min="3" max="3" width="12.28515625" style="315" customWidth="1"/>
    <col min="4" max="5" width="15" style="315" customWidth="1"/>
    <col min="6" max="7" width="13.28515625" style="315" customWidth="1"/>
    <col min="8" max="8" width="12.28515625" style="315" customWidth="1"/>
    <col min="9" max="9" width="17.85546875" style="315" customWidth="1"/>
    <col min="10" max="10" width="16.7109375" style="315" customWidth="1"/>
    <col min="11" max="11" width="24.5703125" style="315" customWidth="1"/>
    <col min="12" max="12" width="30.85546875" style="315" customWidth="1"/>
    <col min="13" max="13" width="27.140625" style="315" customWidth="1"/>
    <col min="14" max="14" width="32.42578125" style="315" customWidth="1"/>
    <col min="15" max="15" width="13.28515625" style="315" customWidth="1"/>
    <col min="16" max="16" width="8.7109375" style="315" customWidth="1"/>
    <col min="17" max="17" width="12.7109375" style="315" customWidth="1"/>
    <col min="18" max="18" width="9.140625" style="315"/>
    <col min="19" max="19" width="17" style="315" customWidth="1"/>
    <col min="20" max="21" width="12" style="315" customWidth="1"/>
    <col min="22" max="22" width="11" style="315" customWidth="1"/>
    <col min="23" max="25" width="17.7109375" style="315" customWidth="1"/>
    <col min="26" max="26" width="46.5703125" style="315" customWidth="1"/>
    <col min="27" max="28" width="12.28515625" style="315" customWidth="1"/>
    <col min="29" max="16384" width="9.140625" style="315"/>
  </cols>
  <sheetData>
    <row r="1" spans="1:28" ht="18.75" x14ac:dyDescent="0.25">
      <c r="Z1" s="33" t="s">
        <v>65</v>
      </c>
    </row>
    <row r="2" spans="1:28" ht="18.75" x14ac:dyDescent="0.3">
      <c r="Z2" s="14" t="s">
        <v>7</v>
      </c>
    </row>
    <row r="3" spans="1:28" ht="18.75" x14ac:dyDescent="0.3">
      <c r="Z3" s="14" t="s">
        <v>64</v>
      </c>
    </row>
    <row r="4" spans="1:28" ht="18.75" customHeight="1" x14ac:dyDescent="0.25">
      <c r="A4" s="451" t="str">
        <f>'1. паспорт местоположение'!A5:C5</f>
        <v>Год раскрытия информации: 2025 год</v>
      </c>
      <c r="B4" s="451"/>
      <c r="C4" s="451"/>
      <c r="D4" s="451"/>
      <c r="E4" s="451"/>
      <c r="F4" s="451"/>
      <c r="G4" s="451"/>
      <c r="H4" s="451"/>
      <c r="I4" s="451"/>
      <c r="J4" s="451"/>
      <c r="K4" s="451"/>
      <c r="L4" s="451"/>
      <c r="M4" s="451"/>
      <c r="N4" s="451"/>
      <c r="O4" s="451"/>
      <c r="P4" s="451"/>
      <c r="Q4" s="451"/>
      <c r="R4" s="451"/>
      <c r="S4" s="451"/>
      <c r="T4" s="451"/>
      <c r="U4" s="451"/>
      <c r="V4" s="451"/>
      <c r="W4" s="451"/>
      <c r="X4" s="451"/>
      <c r="Y4" s="451"/>
      <c r="Z4" s="451"/>
    </row>
    <row r="6" spans="1:28" ht="18.75" x14ac:dyDescent="0.25">
      <c r="A6" s="505" t="s">
        <v>6</v>
      </c>
      <c r="B6" s="505"/>
      <c r="C6" s="505"/>
      <c r="D6" s="505"/>
      <c r="E6" s="505"/>
      <c r="F6" s="505"/>
      <c r="G6" s="505"/>
      <c r="H6" s="505"/>
      <c r="I6" s="505"/>
      <c r="J6" s="505"/>
      <c r="K6" s="505"/>
      <c r="L6" s="505"/>
      <c r="M6" s="505"/>
      <c r="N6" s="505"/>
      <c r="O6" s="505"/>
      <c r="P6" s="505"/>
      <c r="Q6" s="505"/>
      <c r="R6" s="505"/>
      <c r="S6" s="505"/>
      <c r="T6" s="505"/>
      <c r="U6" s="505"/>
      <c r="V6" s="505"/>
      <c r="W6" s="505"/>
      <c r="X6" s="505"/>
      <c r="Y6" s="505"/>
      <c r="Z6" s="505"/>
      <c r="AA6" s="316"/>
      <c r="AB6" s="316"/>
    </row>
    <row r="7" spans="1:28" ht="18.75" x14ac:dyDescent="0.25">
      <c r="A7" s="505"/>
      <c r="B7" s="505"/>
      <c r="C7" s="505"/>
      <c r="D7" s="505"/>
      <c r="E7" s="505"/>
      <c r="F7" s="505"/>
      <c r="G7" s="505"/>
      <c r="H7" s="505"/>
      <c r="I7" s="505"/>
      <c r="J7" s="505"/>
      <c r="K7" s="505"/>
      <c r="L7" s="505"/>
      <c r="M7" s="505"/>
      <c r="N7" s="505"/>
      <c r="O7" s="505"/>
      <c r="P7" s="505"/>
      <c r="Q7" s="505"/>
      <c r="R7" s="505"/>
      <c r="S7" s="505"/>
      <c r="T7" s="505"/>
      <c r="U7" s="505"/>
      <c r="V7" s="505"/>
      <c r="W7" s="505"/>
      <c r="X7" s="505"/>
      <c r="Y7" s="505"/>
      <c r="Z7" s="505"/>
      <c r="AA7" s="316"/>
      <c r="AB7" s="316"/>
    </row>
    <row r="8" spans="1:28" x14ac:dyDescent="0.25">
      <c r="A8" s="506" t="str">
        <f>'1. паспорт местоположение'!A9</f>
        <v>Акционерное общество "Россети Янтарь" ДЗО  ПАО "Россети"</v>
      </c>
      <c r="B8" s="506"/>
      <c r="C8" s="506"/>
      <c r="D8" s="506"/>
      <c r="E8" s="506"/>
      <c r="F8" s="506"/>
      <c r="G8" s="506"/>
      <c r="H8" s="506"/>
      <c r="I8" s="506"/>
      <c r="J8" s="506"/>
      <c r="K8" s="506"/>
      <c r="L8" s="506"/>
      <c r="M8" s="506"/>
      <c r="N8" s="506"/>
      <c r="O8" s="506"/>
      <c r="P8" s="506"/>
      <c r="Q8" s="506"/>
      <c r="R8" s="506"/>
      <c r="S8" s="506"/>
      <c r="T8" s="506"/>
      <c r="U8" s="506"/>
      <c r="V8" s="506"/>
      <c r="W8" s="506"/>
      <c r="X8" s="506"/>
      <c r="Y8" s="506"/>
      <c r="Z8" s="506"/>
      <c r="AA8" s="317"/>
      <c r="AB8" s="317"/>
    </row>
    <row r="9" spans="1:28" ht="15.75" x14ac:dyDescent="0.25">
      <c r="A9" s="503" t="s">
        <v>5</v>
      </c>
      <c r="B9" s="503"/>
      <c r="C9" s="503"/>
      <c r="D9" s="503"/>
      <c r="E9" s="503"/>
      <c r="F9" s="503"/>
      <c r="G9" s="503"/>
      <c r="H9" s="503"/>
      <c r="I9" s="503"/>
      <c r="J9" s="503"/>
      <c r="K9" s="503"/>
      <c r="L9" s="503"/>
      <c r="M9" s="503"/>
      <c r="N9" s="503"/>
      <c r="O9" s="503"/>
      <c r="P9" s="503"/>
      <c r="Q9" s="503"/>
      <c r="R9" s="503"/>
      <c r="S9" s="503"/>
      <c r="T9" s="503"/>
      <c r="U9" s="503"/>
      <c r="V9" s="503"/>
      <c r="W9" s="503"/>
      <c r="X9" s="503"/>
      <c r="Y9" s="503"/>
      <c r="Z9" s="503"/>
      <c r="AA9" s="318"/>
      <c r="AB9" s="318"/>
    </row>
    <row r="10" spans="1:28" ht="18.75" x14ac:dyDescent="0.25">
      <c r="A10" s="505"/>
      <c r="B10" s="505"/>
      <c r="C10" s="505"/>
      <c r="D10" s="505"/>
      <c r="E10" s="505"/>
      <c r="F10" s="505"/>
      <c r="G10" s="505"/>
      <c r="H10" s="505"/>
      <c r="I10" s="505"/>
      <c r="J10" s="505"/>
      <c r="K10" s="505"/>
      <c r="L10" s="505"/>
      <c r="M10" s="505"/>
      <c r="N10" s="505"/>
      <c r="O10" s="505"/>
      <c r="P10" s="505"/>
      <c r="Q10" s="505"/>
      <c r="R10" s="505"/>
      <c r="S10" s="505"/>
      <c r="T10" s="505"/>
      <c r="U10" s="505"/>
      <c r="V10" s="505"/>
      <c r="W10" s="505"/>
      <c r="X10" s="505"/>
      <c r="Y10" s="505"/>
      <c r="Z10" s="505"/>
      <c r="AA10" s="316"/>
      <c r="AB10" s="316"/>
    </row>
    <row r="11" spans="1:28" x14ac:dyDescent="0.25">
      <c r="A11" s="506" t="str">
        <f>'1. паспорт местоположение'!A12:C12</f>
        <v>N_22-1297</v>
      </c>
      <c r="B11" s="506"/>
      <c r="C11" s="506"/>
      <c r="D11" s="506"/>
      <c r="E11" s="506"/>
      <c r="F11" s="506"/>
      <c r="G11" s="506"/>
      <c r="H11" s="506"/>
      <c r="I11" s="506"/>
      <c r="J11" s="506"/>
      <c r="K11" s="506"/>
      <c r="L11" s="506"/>
      <c r="M11" s="506"/>
      <c r="N11" s="506"/>
      <c r="O11" s="506"/>
      <c r="P11" s="506"/>
      <c r="Q11" s="506"/>
      <c r="R11" s="506"/>
      <c r="S11" s="506"/>
      <c r="T11" s="506"/>
      <c r="U11" s="506"/>
      <c r="V11" s="506"/>
      <c r="W11" s="506"/>
      <c r="X11" s="506"/>
      <c r="Y11" s="506"/>
      <c r="Z11" s="506"/>
      <c r="AA11" s="317"/>
      <c r="AB11" s="317"/>
    </row>
    <row r="12" spans="1:28" ht="15.75" x14ac:dyDescent="0.25">
      <c r="A12" s="503" t="s">
        <v>4</v>
      </c>
      <c r="B12" s="503"/>
      <c r="C12" s="503"/>
      <c r="D12" s="503"/>
      <c r="E12" s="503"/>
      <c r="F12" s="503"/>
      <c r="G12" s="503"/>
      <c r="H12" s="503"/>
      <c r="I12" s="503"/>
      <c r="J12" s="503"/>
      <c r="K12" s="503"/>
      <c r="L12" s="503"/>
      <c r="M12" s="503"/>
      <c r="N12" s="503"/>
      <c r="O12" s="503"/>
      <c r="P12" s="503"/>
      <c r="Q12" s="503"/>
      <c r="R12" s="503"/>
      <c r="S12" s="503"/>
      <c r="T12" s="503"/>
      <c r="U12" s="503"/>
      <c r="V12" s="503"/>
      <c r="W12" s="503"/>
      <c r="X12" s="503"/>
      <c r="Y12" s="503"/>
      <c r="Z12" s="503"/>
      <c r="AA12" s="318"/>
      <c r="AB12" s="318"/>
    </row>
    <row r="13" spans="1:28" ht="18.75" x14ac:dyDescent="0.25">
      <c r="A13" s="507"/>
      <c r="B13" s="507"/>
      <c r="C13" s="507"/>
      <c r="D13" s="507"/>
      <c r="E13" s="507"/>
      <c r="F13" s="507"/>
      <c r="G13" s="507"/>
      <c r="H13" s="507"/>
      <c r="I13" s="507"/>
      <c r="J13" s="507"/>
      <c r="K13" s="507"/>
      <c r="L13" s="507"/>
      <c r="M13" s="507"/>
      <c r="N13" s="507"/>
      <c r="O13" s="507"/>
      <c r="P13" s="507"/>
      <c r="Q13" s="507"/>
      <c r="R13" s="507"/>
      <c r="S13" s="507"/>
      <c r="T13" s="507"/>
      <c r="U13" s="507"/>
      <c r="V13" s="507"/>
      <c r="W13" s="507"/>
      <c r="X13" s="507"/>
      <c r="Y13" s="507"/>
      <c r="Z13" s="507"/>
      <c r="AA13" s="319"/>
      <c r="AB13" s="319"/>
    </row>
    <row r="14" spans="1:28" x14ac:dyDescent="0.25">
      <c r="A14" s="506"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4" s="506"/>
      <c r="C14" s="506"/>
      <c r="D14" s="506"/>
      <c r="E14" s="506"/>
      <c r="F14" s="506"/>
      <c r="G14" s="506"/>
      <c r="H14" s="506"/>
      <c r="I14" s="506"/>
      <c r="J14" s="506"/>
      <c r="K14" s="506"/>
      <c r="L14" s="506"/>
      <c r="M14" s="506"/>
      <c r="N14" s="506"/>
      <c r="O14" s="506"/>
      <c r="P14" s="506"/>
      <c r="Q14" s="506"/>
      <c r="R14" s="506"/>
      <c r="S14" s="506"/>
      <c r="T14" s="506"/>
      <c r="U14" s="506"/>
      <c r="V14" s="506"/>
      <c r="W14" s="506"/>
      <c r="X14" s="506"/>
      <c r="Y14" s="506"/>
      <c r="Z14" s="506"/>
      <c r="AA14" s="317"/>
      <c r="AB14" s="317"/>
    </row>
    <row r="15" spans="1:28" ht="15.75" x14ac:dyDescent="0.25">
      <c r="A15" s="503" t="s">
        <v>3</v>
      </c>
      <c r="B15" s="503"/>
      <c r="C15" s="503"/>
      <c r="D15" s="503"/>
      <c r="E15" s="503"/>
      <c r="F15" s="503"/>
      <c r="G15" s="503"/>
      <c r="H15" s="503"/>
      <c r="I15" s="503"/>
      <c r="J15" s="503"/>
      <c r="K15" s="503"/>
      <c r="L15" s="503"/>
      <c r="M15" s="503"/>
      <c r="N15" s="503"/>
      <c r="O15" s="503"/>
      <c r="P15" s="503"/>
      <c r="Q15" s="503"/>
      <c r="R15" s="503"/>
      <c r="S15" s="503"/>
      <c r="T15" s="503"/>
      <c r="U15" s="503"/>
      <c r="V15" s="503"/>
      <c r="W15" s="503"/>
      <c r="X15" s="503"/>
      <c r="Y15" s="503"/>
      <c r="Z15" s="503"/>
      <c r="AA15" s="318"/>
      <c r="AB15" s="318"/>
    </row>
    <row r="16" spans="1:28"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320"/>
      <c r="AB16" s="320"/>
    </row>
    <row r="17" spans="1:28" x14ac:dyDescent="0.25">
      <c r="A17" s="504"/>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320"/>
      <c r="AB17" s="320"/>
    </row>
    <row r="18" spans="1:28" x14ac:dyDescent="0.25">
      <c r="A18" s="504"/>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320"/>
      <c r="AB18" s="320"/>
    </row>
    <row r="19" spans="1:28" x14ac:dyDescent="0.25">
      <c r="A19" s="504"/>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320"/>
      <c r="AB19" s="320"/>
    </row>
    <row r="20" spans="1:28" x14ac:dyDescent="0.25">
      <c r="A20" s="497"/>
      <c r="B20" s="497"/>
      <c r="C20" s="497"/>
      <c r="D20" s="497"/>
      <c r="E20" s="497"/>
      <c r="F20" s="497"/>
      <c r="G20" s="497"/>
      <c r="H20" s="497"/>
      <c r="I20" s="497"/>
      <c r="J20" s="497"/>
      <c r="K20" s="497"/>
      <c r="L20" s="497"/>
      <c r="M20" s="497"/>
      <c r="N20" s="497"/>
      <c r="O20" s="497"/>
      <c r="P20" s="497"/>
      <c r="Q20" s="497"/>
      <c r="R20" s="497"/>
      <c r="S20" s="497"/>
      <c r="T20" s="497"/>
      <c r="U20" s="497"/>
      <c r="V20" s="497"/>
      <c r="W20" s="497"/>
      <c r="X20" s="497"/>
      <c r="Y20" s="497"/>
      <c r="Z20" s="497"/>
      <c r="AA20" s="321"/>
      <c r="AB20" s="321"/>
    </row>
    <row r="21" spans="1:28" x14ac:dyDescent="0.25">
      <c r="A21" s="497"/>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321"/>
      <c r="AB21" s="321"/>
    </row>
    <row r="22" spans="1:28" x14ac:dyDescent="0.25">
      <c r="A22" s="498" t="s">
        <v>447</v>
      </c>
      <c r="B22" s="498"/>
      <c r="C22" s="498"/>
      <c r="D22" s="498"/>
      <c r="E22" s="498"/>
      <c r="F22" s="498"/>
      <c r="G22" s="498"/>
      <c r="H22" s="498"/>
      <c r="I22" s="498"/>
      <c r="J22" s="498"/>
      <c r="K22" s="498"/>
      <c r="L22" s="498"/>
      <c r="M22" s="498"/>
      <c r="N22" s="498"/>
      <c r="O22" s="498"/>
      <c r="P22" s="498"/>
      <c r="Q22" s="498"/>
      <c r="R22" s="498"/>
      <c r="S22" s="498"/>
      <c r="T22" s="498"/>
      <c r="U22" s="498"/>
      <c r="V22" s="498"/>
      <c r="W22" s="498"/>
      <c r="X22" s="498"/>
      <c r="Y22" s="498"/>
      <c r="Z22" s="498"/>
      <c r="AA22" s="322"/>
      <c r="AB22" s="322"/>
    </row>
    <row r="23" spans="1:28" ht="32.25" customHeight="1" x14ac:dyDescent="0.25">
      <c r="A23" s="500" t="s">
        <v>301</v>
      </c>
      <c r="B23" s="501"/>
      <c r="C23" s="501"/>
      <c r="D23" s="501"/>
      <c r="E23" s="501"/>
      <c r="F23" s="501"/>
      <c r="G23" s="501"/>
      <c r="H23" s="501"/>
      <c r="I23" s="501"/>
      <c r="J23" s="501"/>
      <c r="K23" s="501"/>
      <c r="L23" s="502"/>
      <c r="M23" s="499" t="s">
        <v>302</v>
      </c>
      <c r="N23" s="499"/>
      <c r="O23" s="499"/>
      <c r="P23" s="499"/>
      <c r="Q23" s="499"/>
      <c r="R23" s="499"/>
      <c r="S23" s="499"/>
      <c r="T23" s="499"/>
      <c r="U23" s="499"/>
      <c r="V23" s="499"/>
      <c r="W23" s="499"/>
      <c r="X23" s="499"/>
      <c r="Y23" s="499"/>
      <c r="Z23" s="499"/>
    </row>
    <row r="24" spans="1:28" ht="151.5" customHeight="1" x14ac:dyDescent="0.25">
      <c r="A24" s="323" t="s">
        <v>227</v>
      </c>
      <c r="B24" s="324" t="s">
        <v>234</v>
      </c>
      <c r="C24" s="323" t="s">
        <v>298</v>
      </c>
      <c r="D24" s="323" t="s">
        <v>228</v>
      </c>
      <c r="E24" s="323" t="s">
        <v>299</v>
      </c>
      <c r="F24" s="323" t="s">
        <v>546</v>
      </c>
      <c r="G24" s="323" t="s">
        <v>547</v>
      </c>
      <c r="H24" s="323" t="s">
        <v>229</v>
      </c>
      <c r="I24" s="323" t="s">
        <v>548</v>
      </c>
      <c r="J24" s="323" t="s">
        <v>235</v>
      </c>
      <c r="K24" s="324" t="s">
        <v>233</v>
      </c>
      <c r="L24" s="324" t="s">
        <v>230</v>
      </c>
      <c r="M24" s="325" t="s">
        <v>237</v>
      </c>
      <c r="N24" s="324" t="s">
        <v>549</v>
      </c>
      <c r="O24" s="323" t="s">
        <v>550</v>
      </c>
      <c r="P24" s="323" t="s">
        <v>551</v>
      </c>
      <c r="Q24" s="323" t="s">
        <v>552</v>
      </c>
      <c r="R24" s="323" t="s">
        <v>229</v>
      </c>
      <c r="S24" s="323" t="s">
        <v>553</v>
      </c>
      <c r="T24" s="323" t="s">
        <v>554</v>
      </c>
      <c r="U24" s="323" t="s">
        <v>555</v>
      </c>
      <c r="V24" s="323" t="s">
        <v>552</v>
      </c>
      <c r="W24" s="326" t="s">
        <v>556</v>
      </c>
      <c r="X24" s="326" t="s">
        <v>557</v>
      </c>
      <c r="Y24" s="326" t="s">
        <v>558</v>
      </c>
      <c r="Z24" s="327" t="s">
        <v>238</v>
      </c>
    </row>
    <row r="25" spans="1:28" ht="16.5" customHeight="1" x14ac:dyDescent="0.25">
      <c r="A25" s="323">
        <v>1</v>
      </c>
      <c r="B25" s="324">
        <v>2</v>
      </c>
      <c r="C25" s="323">
        <v>3</v>
      </c>
      <c r="D25" s="324">
        <v>4</v>
      </c>
      <c r="E25" s="323">
        <v>5</v>
      </c>
      <c r="F25" s="324">
        <v>6</v>
      </c>
      <c r="G25" s="323">
        <v>7</v>
      </c>
      <c r="H25" s="324">
        <v>8</v>
      </c>
      <c r="I25" s="323">
        <v>9</v>
      </c>
      <c r="J25" s="324">
        <v>10</v>
      </c>
      <c r="K25" s="323">
        <v>11</v>
      </c>
      <c r="L25" s="324">
        <v>12</v>
      </c>
      <c r="M25" s="323">
        <v>13</v>
      </c>
      <c r="N25" s="324">
        <v>14</v>
      </c>
      <c r="O25" s="323">
        <v>15</v>
      </c>
      <c r="P25" s="324">
        <v>16</v>
      </c>
      <c r="Q25" s="323">
        <v>17</v>
      </c>
      <c r="R25" s="324">
        <v>18</v>
      </c>
      <c r="S25" s="323">
        <v>19</v>
      </c>
      <c r="T25" s="324">
        <v>20</v>
      </c>
      <c r="U25" s="323">
        <v>21</v>
      </c>
      <c r="V25" s="324">
        <v>22</v>
      </c>
      <c r="W25" s="323">
        <v>23</v>
      </c>
      <c r="X25" s="324">
        <v>24</v>
      </c>
      <c r="Y25" s="323">
        <v>25</v>
      </c>
      <c r="Z25" s="324">
        <v>26</v>
      </c>
    </row>
    <row r="26" spans="1:28" ht="127.5" x14ac:dyDescent="0.25">
      <c r="A26" s="328" t="s">
        <v>296</v>
      </c>
      <c r="B26" s="329"/>
      <c r="C26" s="330" t="s">
        <v>559</v>
      </c>
      <c r="D26" s="330" t="s">
        <v>560</v>
      </c>
      <c r="E26" s="330" t="s">
        <v>561</v>
      </c>
      <c r="F26" s="330" t="s">
        <v>562</v>
      </c>
      <c r="G26" s="330" t="s">
        <v>563</v>
      </c>
      <c r="H26" s="330" t="s">
        <v>229</v>
      </c>
      <c r="I26" s="330" t="s">
        <v>564</v>
      </c>
      <c r="J26" s="330" t="s">
        <v>565</v>
      </c>
      <c r="K26" s="331"/>
      <c r="L26" s="332" t="s">
        <v>231</v>
      </c>
      <c r="M26" s="333">
        <v>2019</v>
      </c>
      <c r="N26" s="331"/>
      <c r="O26" s="331">
        <v>0</v>
      </c>
      <c r="P26" s="331">
        <v>0</v>
      </c>
      <c r="Q26" s="331">
        <v>0</v>
      </c>
      <c r="R26" s="331">
        <v>99264</v>
      </c>
      <c r="S26" s="331">
        <v>0</v>
      </c>
      <c r="T26" s="331">
        <v>0</v>
      </c>
      <c r="U26" s="331">
        <v>0</v>
      </c>
      <c r="V26" s="331">
        <v>0</v>
      </c>
      <c r="W26" s="331">
        <v>0</v>
      </c>
      <c r="X26" s="331">
        <v>0</v>
      </c>
      <c r="Y26" s="334" t="s">
        <v>505</v>
      </c>
      <c r="Z26" s="335" t="s">
        <v>506</v>
      </c>
    </row>
    <row r="27" spans="1:28" x14ac:dyDescent="0.25">
      <c r="A27" s="331">
        <v>2017</v>
      </c>
      <c r="B27" s="331" t="s">
        <v>521</v>
      </c>
      <c r="C27" s="331">
        <v>0</v>
      </c>
      <c r="D27" s="331">
        <v>0</v>
      </c>
      <c r="E27" s="331">
        <v>0</v>
      </c>
      <c r="F27" s="330">
        <v>0</v>
      </c>
      <c r="G27" s="330">
        <v>0</v>
      </c>
      <c r="H27" s="331">
        <v>99264</v>
      </c>
      <c r="I27" s="331">
        <v>0</v>
      </c>
      <c r="J27" s="331">
        <v>0</v>
      </c>
      <c r="K27" s="332"/>
      <c r="L27" s="331"/>
      <c r="M27" s="332"/>
      <c r="N27" s="331"/>
      <c r="O27" s="331"/>
      <c r="P27" s="331"/>
      <c r="Q27" s="331"/>
      <c r="R27" s="331"/>
      <c r="S27" s="331"/>
      <c r="T27" s="331"/>
      <c r="U27" s="331"/>
      <c r="V27" s="331"/>
      <c r="W27" s="331"/>
      <c r="X27" s="331"/>
      <c r="Y27" s="331"/>
      <c r="Z27" s="331"/>
    </row>
    <row r="28" spans="1:28" ht="30" x14ac:dyDescent="0.25">
      <c r="A28" s="329" t="s">
        <v>297</v>
      </c>
      <c r="B28" s="329"/>
      <c r="C28" s="330" t="s">
        <v>566</v>
      </c>
      <c r="D28" s="330" t="s">
        <v>567</v>
      </c>
      <c r="E28" s="330" t="s">
        <v>568</v>
      </c>
      <c r="F28" s="330" t="s">
        <v>569</v>
      </c>
      <c r="G28" s="330" t="s">
        <v>570</v>
      </c>
      <c r="H28" s="330" t="s">
        <v>229</v>
      </c>
      <c r="I28" s="330" t="s">
        <v>571</v>
      </c>
      <c r="J28" s="330" t="s">
        <v>572</v>
      </c>
      <c r="K28" s="331"/>
      <c r="L28" s="331"/>
      <c r="M28" s="331"/>
      <c r="N28" s="331"/>
      <c r="O28" s="331"/>
      <c r="P28" s="331"/>
      <c r="Q28" s="331"/>
      <c r="R28" s="331"/>
      <c r="S28" s="331"/>
      <c r="T28" s="331"/>
      <c r="U28" s="331"/>
      <c r="V28" s="331"/>
      <c r="W28" s="331"/>
      <c r="X28" s="331"/>
      <c r="Y28" s="331"/>
      <c r="Z28" s="331"/>
    </row>
    <row r="29" spans="1:28" x14ac:dyDescent="0.25">
      <c r="A29" s="331">
        <v>2016</v>
      </c>
      <c r="B29" s="331" t="s">
        <v>521</v>
      </c>
      <c r="C29" s="331">
        <v>0</v>
      </c>
      <c r="D29" s="331">
        <v>0</v>
      </c>
      <c r="E29" s="331">
        <v>0</v>
      </c>
      <c r="F29" s="331">
        <v>0</v>
      </c>
      <c r="G29" s="331">
        <v>0</v>
      </c>
      <c r="H29" s="331">
        <v>85140</v>
      </c>
      <c r="I29" s="331">
        <v>0</v>
      </c>
      <c r="J29" s="331">
        <v>0</v>
      </c>
      <c r="K29" s="331"/>
      <c r="L29" s="331"/>
      <c r="M29" s="331"/>
      <c r="N29" s="331"/>
      <c r="O29" s="331"/>
      <c r="P29" s="331"/>
      <c r="Q29" s="331"/>
      <c r="R29" s="331"/>
      <c r="S29" s="331"/>
      <c r="T29" s="331"/>
      <c r="U29" s="331"/>
      <c r="V29" s="331"/>
      <c r="W29" s="331"/>
      <c r="X29" s="331"/>
      <c r="Y29" s="331"/>
      <c r="Z29" s="331"/>
    </row>
    <row r="33" spans="1:1" x14ac:dyDescent="0.25">
      <c r="A33" s="33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1" t="str">
        <f>'1. паспорт местоположение'!A5:C5</f>
        <v>Год раскрытия информации: 2025 год</v>
      </c>
      <c r="B5" s="451"/>
      <c r="C5" s="451"/>
      <c r="D5" s="451"/>
      <c r="E5" s="451"/>
      <c r="F5" s="451"/>
      <c r="G5" s="451"/>
      <c r="H5" s="451"/>
      <c r="I5" s="451"/>
      <c r="J5" s="451"/>
      <c r="K5" s="451"/>
      <c r="L5" s="451"/>
      <c r="M5" s="451"/>
      <c r="N5" s="451"/>
      <c r="O5" s="451"/>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60" t="s">
        <v>6</v>
      </c>
      <c r="B7" s="460"/>
      <c r="C7" s="460"/>
      <c r="D7" s="460"/>
      <c r="E7" s="460"/>
      <c r="F7" s="460"/>
      <c r="G7" s="460"/>
      <c r="H7" s="460"/>
      <c r="I7" s="460"/>
      <c r="J7" s="460"/>
      <c r="K7" s="460"/>
      <c r="L7" s="460"/>
      <c r="M7" s="460"/>
      <c r="N7" s="460"/>
      <c r="O7" s="460"/>
      <c r="P7" s="12"/>
      <c r="Q7" s="12"/>
      <c r="R7" s="12"/>
      <c r="S7" s="12"/>
      <c r="T7" s="12"/>
      <c r="U7" s="12"/>
      <c r="V7" s="12"/>
      <c r="W7" s="12"/>
      <c r="X7" s="12"/>
      <c r="Y7" s="12"/>
      <c r="Z7" s="12"/>
    </row>
    <row r="8" spans="1:28" s="11" customFormat="1" ht="18.75" x14ac:dyDescent="0.2">
      <c r="A8" s="460"/>
      <c r="B8" s="460"/>
      <c r="C8" s="460"/>
      <c r="D8" s="460"/>
      <c r="E8" s="460"/>
      <c r="F8" s="460"/>
      <c r="G8" s="460"/>
      <c r="H8" s="460"/>
      <c r="I8" s="460"/>
      <c r="J8" s="460"/>
      <c r="K8" s="460"/>
      <c r="L8" s="460"/>
      <c r="M8" s="460"/>
      <c r="N8" s="460"/>
      <c r="O8" s="460"/>
      <c r="P8" s="12"/>
      <c r="Q8" s="12"/>
      <c r="R8" s="12"/>
      <c r="S8" s="12"/>
      <c r="T8" s="12"/>
      <c r="U8" s="12"/>
      <c r="V8" s="12"/>
      <c r="W8" s="12"/>
      <c r="X8" s="12"/>
      <c r="Y8" s="12"/>
      <c r="Z8" s="12"/>
    </row>
    <row r="9" spans="1:28" s="11" customFormat="1" ht="18.75" x14ac:dyDescent="0.2">
      <c r="A9" s="461" t="str">
        <f>'1. паспорт местоположение'!A9:C9</f>
        <v>Акционерное общество "Россети Янтарь" ДЗО  ПАО "Россети"</v>
      </c>
      <c r="B9" s="461"/>
      <c r="C9" s="461"/>
      <c r="D9" s="461"/>
      <c r="E9" s="461"/>
      <c r="F9" s="461"/>
      <c r="G9" s="461"/>
      <c r="H9" s="461"/>
      <c r="I9" s="461"/>
      <c r="J9" s="461"/>
      <c r="K9" s="461"/>
      <c r="L9" s="461"/>
      <c r="M9" s="461"/>
      <c r="N9" s="461"/>
      <c r="O9" s="461"/>
      <c r="P9" s="12"/>
      <c r="Q9" s="12"/>
      <c r="R9" s="12"/>
      <c r="S9" s="12"/>
      <c r="T9" s="12"/>
      <c r="U9" s="12"/>
      <c r="V9" s="12"/>
      <c r="W9" s="12"/>
      <c r="X9" s="12"/>
      <c r="Y9" s="12"/>
      <c r="Z9" s="12"/>
    </row>
    <row r="10" spans="1:28" s="11" customFormat="1" ht="18.75" x14ac:dyDescent="0.2">
      <c r="A10" s="465" t="s">
        <v>5</v>
      </c>
      <c r="B10" s="465"/>
      <c r="C10" s="465"/>
      <c r="D10" s="465"/>
      <c r="E10" s="465"/>
      <c r="F10" s="465"/>
      <c r="G10" s="465"/>
      <c r="H10" s="465"/>
      <c r="I10" s="465"/>
      <c r="J10" s="465"/>
      <c r="K10" s="465"/>
      <c r="L10" s="465"/>
      <c r="M10" s="465"/>
      <c r="N10" s="465"/>
      <c r="O10" s="465"/>
      <c r="P10" s="12"/>
      <c r="Q10" s="12"/>
      <c r="R10" s="12"/>
      <c r="S10" s="12"/>
      <c r="T10" s="12"/>
      <c r="U10" s="12"/>
      <c r="V10" s="12"/>
      <c r="W10" s="12"/>
      <c r="X10" s="12"/>
      <c r="Y10" s="12"/>
      <c r="Z10" s="12"/>
    </row>
    <row r="11" spans="1:28" s="11" customFormat="1" ht="18.75" x14ac:dyDescent="0.2">
      <c r="A11" s="460"/>
      <c r="B11" s="460"/>
      <c r="C11" s="460"/>
      <c r="D11" s="460"/>
      <c r="E11" s="460"/>
      <c r="F11" s="460"/>
      <c r="G11" s="460"/>
      <c r="H11" s="460"/>
      <c r="I11" s="460"/>
      <c r="J11" s="460"/>
      <c r="K11" s="460"/>
      <c r="L11" s="460"/>
      <c r="M11" s="460"/>
      <c r="N11" s="460"/>
      <c r="O11" s="460"/>
      <c r="P11" s="12"/>
      <c r="Q11" s="12"/>
      <c r="R11" s="12"/>
      <c r="S11" s="12"/>
      <c r="T11" s="12"/>
      <c r="U11" s="12"/>
      <c r="V11" s="12"/>
      <c r="W11" s="12"/>
      <c r="X11" s="12"/>
      <c r="Y11" s="12"/>
      <c r="Z11" s="12"/>
    </row>
    <row r="12" spans="1:28" s="11" customFormat="1" ht="18.75" x14ac:dyDescent="0.2">
      <c r="A12" s="461" t="str">
        <f>'1. паспорт местоположение'!A12:C12</f>
        <v>N_22-1297</v>
      </c>
      <c r="B12" s="461"/>
      <c r="C12" s="461"/>
      <c r="D12" s="461"/>
      <c r="E12" s="461"/>
      <c r="F12" s="461"/>
      <c r="G12" s="461"/>
      <c r="H12" s="461"/>
      <c r="I12" s="461"/>
      <c r="J12" s="461"/>
      <c r="K12" s="461"/>
      <c r="L12" s="461"/>
      <c r="M12" s="461"/>
      <c r="N12" s="461"/>
      <c r="O12" s="461"/>
      <c r="P12" s="12"/>
      <c r="Q12" s="12"/>
      <c r="R12" s="12"/>
      <c r="S12" s="12"/>
      <c r="T12" s="12"/>
      <c r="U12" s="12"/>
      <c r="V12" s="12"/>
      <c r="W12" s="12"/>
      <c r="X12" s="12"/>
      <c r="Y12" s="12"/>
      <c r="Z12" s="12"/>
    </row>
    <row r="13" spans="1:28" s="11" customFormat="1" ht="18.75" x14ac:dyDescent="0.2">
      <c r="A13" s="465" t="s">
        <v>4</v>
      </c>
      <c r="B13" s="465"/>
      <c r="C13" s="465"/>
      <c r="D13" s="465"/>
      <c r="E13" s="465"/>
      <c r="F13" s="465"/>
      <c r="G13" s="465"/>
      <c r="H13" s="465"/>
      <c r="I13" s="465"/>
      <c r="J13" s="465"/>
      <c r="K13" s="465"/>
      <c r="L13" s="465"/>
      <c r="M13" s="465"/>
      <c r="N13" s="465"/>
      <c r="O13" s="465"/>
      <c r="P13" s="12"/>
      <c r="Q13" s="12"/>
      <c r="R13" s="12"/>
      <c r="S13" s="12"/>
      <c r="T13" s="12"/>
      <c r="U13" s="12"/>
      <c r="V13" s="12"/>
      <c r="W13" s="12"/>
      <c r="X13" s="12"/>
      <c r="Y13" s="12"/>
      <c r="Z13" s="12"/>
    </row>
    <row r="14" spans="1:28" s="8" customFormat="1" ht="15.75" customHeight="1" x14ac:dyDescent="0.2">
      <c r="A14" s="466"/>
      <c r="B14" s="466"/>
      <c r="C14" s="466"/>
      <c r="D14" s="466"/>
      <c r="E14" s="466"/>
      <c r="F14" s="466"/>
      <c r="G14" s="466"/>
      <c r="H14" s="466"/>
      <c r="I14" s="466"/>
      <c r="J14" s="466"/>
      <c r="K14" s="466"/>
      <c r="L14" s="466"/>
      <c r="M14" s="466"/>
      <c r="N14" s="466"/>
      <c r="O14" s="466"/>
      <c r="P14" s="9"/>
      <c r="Q14" s="9"/>
      <c r="R14" s="9"/>
      <c r="S14" s="9"/>
      <c r="T14" s="9"/>
      <c r="U14" s="9"/>
      <c r="V14" s="9"/>
      <c r="W14" s="9"/>
      <c r="X14" s="9"/>
      <c r="Y14" s="9"/>
      <c r="Z14" s="9"/>
    </row>
    <row r="15" spans="1:28" s="3" customFormat="1" ht="12" x14ac:dyDescent="0.2">
      <c r="A15" s="461" t="str">
        <f>'1. паспорт местоположение'!A15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461"/>
      <c r="C15" s="461"/>
      <c r="D15" s="461"/>
      <c r="E15" s="461"/>
      <c r="F15" s="461"/>
      <c r="G15" s="461"/>
      <c r="H15" s="461"/>
      <c r="I15" s="461"/>
      <c r="J15" s="461"/>
      <c r="K15" s="461"/>
      <c r="L15" s="461"/>
      <c r="M15" s="461"/>
      <c r="N15" s="461"/>
      <c r="O15" s="461"/>
      <c r="P15" s="7"/>
      <c r="Q15" s="7"/>
      <c r="R15" s="7"/>
      <c r="S15" s="7"/>
      <c r="T15" s="7"/>
      <c r="U15" s="7"/>
      <c r="V15" s="7"/>
      <c r="W15" s="7"/>
      <c r="X15" s="7"/>
      <c r="Y15" s="7"/>
      <c r="Z15" s="7"/>
    </row>
    <row r="16" spans="1:28" s="3" customFormat="1" ht="15" customHeight="1" x14ac:dyDescent="0.2">
      <c r="A16" s="465" t="s">
        <v>3</v>
      </c>
      <c r="B16" s="465"/>
      <c r="C16" s="465"/>
      <c r="D16" s="465"/>
      <c r="E16" s="465"/>
      <c r="F16" s="465"/>
      <c r="G16" s="465"/>
      <c r="H16" s="465"/>
      <c r="I16" s="465"/>
      <c r="J16" s="465"/>
      <c r="K16" s="465"/>
      <c r="L16" s="465"/>
      <c r="M16" s="465"/>
      <c r="N16" s="465"/>
      <c r="O16" s="465"/>
      <c r="P16" s="5"/>
      <c r="Q16" s="5"/>
      <c r="R16" s="5"/>
      <c r="S16" s="5"/>
      <c r="T16" s="5"/>
      <c r="U16" s="5"/>
      <c r="V16" s="5"/>
      <c r="W16" s="5"/>
      <c r="X16" s="5"/>
      <c r="Y16" s="5"/>
      <c r="Z16" s="5"/>
    </row>
    <row r="17" spans="1:26" s="3" customFormat="1" ht="15" customHeight="1" x14ac:dyDescent="0.2">
      <c r="A17" s="468"/>
      <c r="B17" s="468"/>
      <c r="C17" s="468"/>
      <c r="D17" s="468"/>
      <c r="E17" s="468"/>
      <c r="F17" s="468"/>
      <c r="G17" s="468"/>
      <c r="H17" s="468"/>
      <c r="I17" s="468"/>
      <c r="J17" s="468"/>
      <c r="K17" s="468"/>
      <c r="L17" s="468"/>
      <c r="M17" s="468"/>
      <c r="N17" s="468"/>
      <c r="O17" s="468"/>
      <c r="P17" s="4"/>
      <c r="Q17" s="4"/>
      <c r="R17" s="4"/>
      <c r="S17" s="4"/>
      <c r="T17" s="4"/>
      <c r="U17" s="4"/>
      <c r="V17" s="4"/>
      <c r="W17" s="4"/>
    </row>
    <row r="18" spans="1:26" s="3" customFormat="1" ht="91.5" customHeight="1" x14ac:dyDescent="0.2">
      <c r="A18" s="512" t="s">
        <v>424</v>
      </c>
      <c r="B18" s="512"/>
      <c r="C18" s="512"/>
      <c r="D18" s="512"/>
      <c r="E18" s="512"/>
      <c r="F18" s="512"/>
      <c r="G18" s="512"/>
      <c r="H18" s="512"/>
      <c r="I18" s="512"/>
      <c r="J18" s="512"/>
      <c r="K18" s="512"/>
      <c r="L18" s="512"/>
      <c r="M18" s="512"/>
      <c r="N18" s="512"/>
      <c r="O18" s="512"/>
      <c r="P18" s="6"/>
      <c r="Q18" s="6"/>
      <c r="R18" s="6"/>
      <c r="S18" s="6"/>
      <c r="T18" s="6"/>
      <c r="U18" s="6"/>
      <c r="V18" s="6"/>
      <c r="W18" s="6"/>
      <c r="X18" s="6"/>
      <c r="Y18" s="6"/>
      <c r="Z18" s="6"/>
    </row>
    <row r="19" spans="1:26" s="3" customFormat="1" ht="78" customHeight="1" x14ac:dyDescent="0.2">
      <c r="A19" s="508" t="s">
        <v>2</v>
      </c>
      <c r="B19" s="508" t="s">
        <v>81</v>
      </c>
      <c r="C19" s="508" t="s">
        <v>80</v>
      </c>
      <c r="D19" s="508" t="s">
        <v>72</v>
      </c>
      <c r="E19" s="509" t="s">
        <v>79</v>
      </c>
      <c r="F19" s="510"/>
      <c r="G19" s="510"/>
      <c r="H19" s="510"/>
      <c r="I19" s="511"/>
      <c r="J19" s="508" t="s">
        <v>78</v>
      </c>
      <c r="K19" s="508"/>
      <c r="L19" s="508"/>
      <c r="M19" s="508"/>
      <c r="N19" s="508"/>
      <c r="O19" s="508"/>
      <c r="P19" s="4"/>
      <c r="Q19" s="4"/>
      <c r="R19" s="4"/>
      <c r="S19" s="4"/>
      <c r="T19" s="4"/>
      <c r="U19" s="4"/>
      <c r="V19" s="4"/>
      <c r="W19" s="4"/>
    </row>
    <row r="20" spans="1:26" s="3" customFormat="1" ht="51" customHeight="1" x14ac:dyDescent="0.2">
      <c r="A20" s="508"/>
      <c r="B20" s="508"/>
      <c r="C20" s="508"/>
      <c r="D20" s="508"/>
      <c r="E20" s="337" t="s">
        <v>77</v>
      </c>
      <c r="F20" s="337" t="s">
        <v>76</v>
      </c>
      <c r="G20" s="337" t="s">
        <v>75</v>
      </c>
      <c r="H20" s="337" t="s">
        <v>74</v>
      </c>
      <c r="I20" s="337" t="s">
        <v>73</v>
      </c>
      <c r="J20" s="337">
        <v>2023</v>
      </c>
      <c r="K20" s="337">
        <v>2024</v>
      </c>
      <c r="L20" s="337">
        <v>2025</v>
      </c>
      <c r="M20" s="337">
        <v>2026</v>
      </c>
      <c r="N20" s="337">
        <v>2027</v>
      </c>
      <c r="O20" s="337">
        <v>2028</v>
      </c>
      <c r="P20" s="27"/>
      <c r="Q20" s="27"/>
      <c r="R20" s="27"/>
      <c r="S20" s="27"/>
      <c r="T20" s="27"/>
      <c r="U20" s="27"/>
      <c r="V20" s="27"/>
      <c r="W20" s="27"/>
      <c r="X20" s="26"/>
      <c r="Y20" s="26"/>
      <c r="Z20" s="26"/>
    </row>
    <row r="21" spans="1:26" s="3" customFormat="1" ht="16.5" customHeight="1" x14ac:dyDescent="0.2">
      <c r="A21" s="338">
        <v>1</v>
      </c>
      <c r="B21" s="339">
        <v>2</v>
      </c>
      <c r="C21" s="338">
        <v>3</v>
      </c>
      <c r="D21" s="339">
        <v>4</v>
      </c>
      <c r="E21" s="338">
        <v>5</v>
      </c>
      <c r="F21" s="339">
        <v>6</v>
      </c>
      <c r="G21" s="338">
        <v>7</v>
      </c>
      <c r="H21" s="339">
        <v>8</v>
      </c>
      <c r="I21" s="338">
        <v>9</v>
      </c>
      <c r="J21" s="339">
        <v>10</v>
      </c>
      <c r="K21" s="338">
        <v>11</v>
      </c>
      <c r="L21" s="339">
        <v>12</v>
      </c>
      <c r="M21" s="338">
        <v>13</v>
      </c>
      <c r="N21" s="339">
        <v>14</v>
      </c>
      <c r="O21" s="338">
        <v>15</v>
      </c>
      <c r="P21" s="27"/>
      <c r="Q21" s="27"/>
      <c r="R21" s="27"/>
      <c r="S21" s="27"/>
      <c r="T21" s="27"/>
      <c r="U21" s="27"/>
      <c r="V21" s="27"/>
      <c r="W21" s="27"/>
      <c r="X21" s="26"/>
      <c r="Y21" s="26"/>
      <c r="Z21" s="26"/>
    </row>
    <row r="22" spans="1:26" s="3" customFormat="1" ht="33" customHeight="1" x14ac:dyDescent="0.2">
      <c r="A22" s="340" t="s">
        <v>61</v>
      </c>
      <c r="B22" s="425">
        <v>2025</v>
      </c>
      <c r="C22" s="341">
        <v>0</v>
      </c>
      <c r="D22" s="341">
        <v>0</v>
      </c>
      <c r="E22" s="341">
        <v>0</v>
      </c>
      <c r="F22" s="341">
        <v>0</v>
      </c>
      <c r="G22" s="341">
        <v>0</v>
      </c>
      <c r="H22" s="341">
        <v>0</v>
      </c>
      <c r="I22" s="341">
        <v>0</v>
      </c>
      <c r="J22" s="314">
        <v>0</v>
      </c>
      <c r="K22" s="314">
        <v>0</v>
      </c>
      <c r="L22" s="342">
        <v>0</v>
      </c>
      <c r="M22" s="342">
        <v>0</v>
      </c>
      <c r="N22" s="342">
        <v>0</v>
      </c>
      <c r="O22" s="34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45" zoomScale="80" zoomScaleNormal="80" workbookViewId="0">
      <selection activeCell="A98" sqref="A98:XFD145"/>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5" width="16.85546875" style="108" hidden="1" customWidth="1"/>
    <col min="46" max="50" width="16.85546875" style="109" hidden="1" customWidth="1"/>
    <col min="51"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510</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27" t="str">
        <f>'4. паспортбюджет'!A5:O5</f>
        <v>Год раскрытия информации: 2025 год</v>
      </c>
      <c r="B5" s="527"/>
      <c r="C5" s="527"/>
      <c r="D5" s="527"/>
      <c r="E5" s="527"/>
      <c r="F5" s="527"/>
      <c r="G5" s="527"/>
      <c r="H5" s="527"/>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60" t="str">
        <f>'[2]1. паспорт местоположение'!A7:C7</f>
        <v xml:space="preserve">Паспорт инвестиционного проекта </v>
      </c>
      <c r="B7" s="460"/>
      <c r="C7" s="460"/>
      <c r="D7" s="460"/>
      <c r="E7" s="460"/>
      <c r="F7" s="460"/>
      <c r="G7" s="460"/>
      <c r="H7" s="460"/>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86" t="str">
        <f>'4. паспортбюджет'!A9:O9</f>
        <v>Акционерное общество "Россети Янтарь" ДЗО  ПАО "Россети"</v>
      </c>
      <c r="B9" s="486"/>
      <c r="C9" s="486"/>
      <c r="D9" s="486"/>
      <c r="E9" s="486"/>
      <c r="F9" s="486"/>
      <c r="G9" s="486"/>
      <c r="H9" s="48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65" t="s">
        <v>5</v>
      </c>
      <c r="B10" s="465"/>
      <c r="C10" s="465"/>
      <c r="D10" s="465"/>
      <c r="E10" s="465"/>
      <c r="F10" s="465"/>
      <c r="G10" s="465"/>
      <c r="H10" s="465"/>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86" t="str">
        <f>'1. паспорт местоположение'!A12:C12</f>
        <v>N_22-1297</v>
      </c>
      <c r="B12" s="486"/>
      <c r="C12" s="486"/>
      <c r="D12" s="486"/>
      <c r="E12" s="486"/>
      <c r="F12" s="486"/>
      <c r="G12" s="486"/>
      <c r="H12" s="48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65" t="s">
        <v>4</v>
      </c>
      <c r="B13" s="465"/>
      <c r="C13" s="465"/>
      <c r="D13" s="465"/>
      <c r="E13" s="465"/>
      <c r="F13" s="465"/>
      <c r="G13" s="465"/>
      <c r="H13" s="465"/>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515" t="str">
        <f>'1. паспорт местоположение'!A15:C15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515"/>
      <c r="C15" s="515"/>
      <c r="D15" s="515"/>
      <c r="E15" s="515"/>
      <c r="F15" s="515"/>
      <c r="G15" s="515"/>
      <c r="H15" s="51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65" t="s">
        <v>3</v>
      </c>
      <c r="B16" s="465"/>
      <c r="C16" s="465"/>
      <c r="D16" s="465"/>
      <c r="E16" s="465"/>
      <c r="F16" s="465"/>
      <c r="G16" s="465"/>
      <c r="H16" s="465"/>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86" t="s">
        <v>425</v>
      </c>
      <c r="B18" s="486"/>
      <c r="C18" s="486"/>
      <c r="D18" s="486"/>
      <c r="E18" s="486"/>
      <c r="F18" s="486"/>
      <c r="G18" s="486"/>
      <c r="H18" s="48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$B$129/1.18</f>
        <v>7899186.0593220331</v>
      </c>
    </row>
    <row r="26" spans="1:44" x14ac:dyDescent="0.2">
      <c r="A26" s="130" t="s">
        <v>291</v>
      </c>
      <c r="B26" s="131">
        <v>0</v>
      </c>
    </row>
    <row r="27" spans="1:44" x14ac:dyDescent="0.2">
      <c r="A27" s="130" t="s">
        <v>289</v>
      </c>
      <c r="B27" s="131">
        <f>$B$126</f>
        <v>25</v>
      </c>
      <c r="D27" s="123" t="s">
        <v>292</v>
      </c>
    </row>
    <row r="28" spans="1:44" ht="16.149999999999999" customHeight="1" thickBot="1" x14ac:dyDescent="0.25">
      <c r="A28" s="132" t="s">
        <v>287</v>
      </c>
      <c r="B28" s="133">
        <v>1</v>
      </c>
      <c r="D28" s="516" t="s">
        <v>290</v>
      </c>
      <c r="E28" s="517"/>
      <c r="F28" s="518"/>
      <c r="G28" s="519">
        <f>IF(SUM(B89:L89)=0,"не окупается",SUM(B89:L89))</f>
        <v>10.370666292041703</v>
      </c>
      <c r="H28" s="520"/>
    </row>
    <row r="29" spans="1:44" ht="15.6" customHeight="1" x14ac:dyDescent="0.2">
      <c r="A29" s="128" t="s">
        <v>285</v>
      </c>
      <c r="B29" s="129">
        <f>$B$129*$B$130</f>
        <v>93210.395499999984</v>
      </c>
      <c r="D29" s="516" t="s">
        <v>288</v>
      </c>
      <c r="E29" s="517"/>
      <c r="F29" s="518"/>
      <c r="G29" s="519" t="str">
        <f>IF(SUM(B90:L90)=0,"не окупается",SUM(B90:L90))</f>
        <v>не окупается</v>
      </c>
      <c r="H29" s="520"/>
    </row>
    <row r="30" spans="1:44" ht="27.6" customHeight="1" x14ac:dyDescent="0.2">
      <c r="A30" s="130" t="s">
        <v>461</v>
      </c>
      <c r="B30" s="131">
        <v>6</v>
      </c>
      <c r="D30" s="516" t="s">
        <v>286</v>
      </c>
      <c r="E30" s="517"/>
      <c r="F30" s="518"/>
      <c r="G30" s="521">
        <f>L87</f>
        <v>-3201881.2424237109</v>
      </c>
      <c r="H30" s="522"/>
    </row>
    <row r="31" spans="1:44" x14ac:dyDescent="0.2">
      <c r="A31" s="130" t="s">
        <v>284</v>
      </c>
      <c r="B31" s="131">
        <v>6</v>
      </c>
      <c r="D31" s="523"/>
      <c r="E31" s="524"/>
      <c r="F31" s="525"/>
      <c r="G31" s="523"/>
      <c r="H31" s="525"/>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8">
        <f>B139</f>
        <v>9.1135032622053413E-2</v>
      </c>
      <c r="C48" s="198">
        <f t="shared" ref="C48:AP48" si="1">C139</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row>
    <row r="49" spans="1:51" s="148" customFormat="1" x14ac:dyDescent="0.2">
      <c r="A49" s="149" t="s">
        <v>271</v>
      </c>
      <c r="B49" s="198">
        <f>B140</f>
        <v>9.1135032622053413E-2</v>
      </c>
      <c r="C49" s="198">
        <f t="shared" ref="C49:AP49" si="2">C140</f>
        <v>0.17642160636778237</v>
      </c>
      <c r="D49" s="198">
        <f t="shared" si="2"/>
        <v>0.23833546225510083</v>
      </c>
      <c r="E49" s="198">
        <f t="shared" si="2"/>
        <v>0.29308100980721452</v>
      </c>
      <c r="F49" s="198">
        <f t="shared" si="2"/>
        <v>0.35024680217031245</v>
      </c>
      <c r="G49" s="198">
        <f t="shared" si="2"/>
        <v>0.40993983589858063</v>
      </c>
      <c r="H49" s="198">
        <f t="shared" si="2"/>
        <v>0.47227183775471748</v>
      </c>
      <c r="I49" s="198">
        <f t="shared" si="2"/>
        <v>0.53735947382762728</v>
      </c>
      <c r="J49" s="198">
        <f t="shared" si="2"/>
        <v>0.605324567894993</v>
      </c>
      <c r="K49" s="198">
        <f t="shared" si="2"/>
        <v>0.67629432943943568</v>
      </c>
      <c r="L49" s="198">
        <f t="shared" si="2"/>
        <v>0.75040159174503551</v>
      </c>
      <c r="M49" s="198">
        <f t="shared" si="2"/>
        <v>0.82778506051985823</v>
      </c>
      <c r="N49" s="198">
        <f t="shared" si="2"/>
        <v>0.90858957350982816</v>
      </c>
      <c r="O49" s="198">
        <f t="shared" si="2"/>
        <v>0.99296637158986734</v>
      </c>
      <c r="P49" s="198">
        <f t="shared" si="2"/>
        <v>1.0810733818396958</v>
      </c>
      <c r="Q49" s="198">
        <f t="shared" si="2"/>
        <v>1.1730755131341262</v>
      </c>
      <c r="R49" s="198">
        <f t="shared" si="2"/>
        <v>1.2691449648011015</v>
      </c>
      <c r="S49" s="198">
        <f t="shared" si="2"/>
        <v>1.3694615489251918</v>
      </c>
      <c r="T49" s="198">
        <f t="shared" si="2"/>
        <v>1.4742130268997977</v>
      </c>
      <c r="U49" s="198">
        <f t="shared" si="2"/>
        <v>1.5835954608579867</v>
      </c>
      <c r="V49" s="198">
        <f t="shared" si="2"/>
        <v>1.6978135806397239</v>
      </c>
      <c r="W49" s="198">
        <f t="shared" si="2"/>
        <v>1.8170811669823532</v>
      </c>
      <c r="X49" s="198">
        <f t="shared" si="2"/>
        <v>1.9416214516515375</v>
      </c>
      <c r="Y49" s="198">
        <f t="shared" si="2"/>
        <v>2.0716675352615797</v>
      </c>
      <c r="Z49" s="198">
        <f t="shared" si="2"/>
        <v>2.2074628235671527</v>
      </c>
      <c r="AA49" s="198">
        <f t="shared" si="2"/>
        <v>2.3492614830430445</v>
      </c>
      <c r="AB49" s="198">
        <f t="shared" si="2"/>
        <v>2.4973289166046162</v>
      </c>
      <c r="AC49" s="198">
        <f t="shared" si="2"/>
        <v>2.6519422603593781</v>
      </c>
      <c r="AD49" s="198">
        <f t="shared" si="2"/>
        <v>2.813390902319445</v>
      </c>
      <c r="AE49" s="198">
        <f t="shared" si="2"/>
        <v>2.9819770240457402</v>
      </c>
      <c r="AF49" s="198">
        <f t="shared" si="2"/>
        <v>3.1580161662377391</v>
      </c>
      <c r="AG49" s="198">
        <f t="shared" si="2"/>
        <v>3.3418378193273544</v>
      </c>
      <c r="AH49" s="198">
        <f t="shared" si="2"/>
        <v>3.5337860401823793</v>
      </c>
      <c r="AI49" s="198">
        <f t="shared" si="2"/>
        <v>3.7342200960737566</v>
      </c>
      <c r="AJ49" s="198">
        <f t="shared" si="2"/>
        <v>3.9435151371119872</v>
      </c>
      <c r="AK49" s="198">
        <f t="shared" si="2"/>
        <v>4.1620628984112642</v>
      </c>
      <c r="AL49" s="198">
        <f t="shared" si="2"/>
        <v>4.3902724332955678</v>
      </c>
      <c r="AM49" s="198">
        <f t="shared" si="2"/>
        <v>4.6285708789190521</v>
      </c>
      <c r="AN49" s="198">
        <f t="shared" si="2"/>
        <v>4.8774042557337323</v>
      </c>
      <c r="AO49" s="198">
        <f t="shared" si="2"/>
        <v>5.1372383023008181</v>
      </c>
      <c r="AP49" s="198">
        <f t="shared" si="2"/>
        <v>5.4085593470082083</v>
      </c>
    </row>
    <row r="50" spans="1:51" s="148" customFormat="1" ht="16.5" thickBot="1" x14ac:dyDescent="0.25">
      <c r="A50" s="150" t="s">
        <v>464</v>
      </c>
      <c r="B50" s="151">
        <f>IF($B$127="да",($B$129-0.05),0)</f>
        <v>0</v>
      </c>
      <c r="C50" s="151">
        <f>C108*(1+C49)</f>
        <v>0</v>
      </c>
      <c r="D50" s="151">
        <f>(D108+D109+D110)*(1+D49)</f>
        <v>447959.81456124829</v>
      </c>
      <c r="E50" s="151">
        <f t="shared" ref="E50:AY50" si="3">(E108+E109+E110)*(1+E49)</f>
        <v>757199.16942695202</v>
      </c>
      <c r="F50" s="151">
        <f t="shared" si="3"/>
        <v>1200911.1835589327</v>
      </c>
      <c r="G50" s="151">
        <f t="shared" si="3"/>
        <v>1304163.9997446984</v>
      </c>
      <c r="H50" s="151">
        <f t="shared" si="3"/>
        <v>1361819.7597871013</v>
      </c>
      <c r="I50" s="151">
        <f t="shared" si="3"/>
        <v>1422024.422165957</v>
      </c>
      <c r="J50" s="151">
        <f t="shared" si="3"/>
        <v>1484890.6712534083</v>
      </c>
      <c r="K50" s="151">
        <f t="shared" si="3"/>
        <v>1550536.17308274</v>
      </c>
      <c r="L50" s="151">
        <f t="shared" si="3"/>
        <v>1619083.7955825361</v>
      </c>
      <c r="M50" s="151">
        <f t="shared" si="3"/>
        <v>1690661.8385471662</v>
      </c>
      <c r="N50" s="151">
        <f t="shared" si="3"/>
        <v>1765404.2737740278</v>
      </c>
      <c r="O50" s="151">
        <f t="shared" si="3"/>
        <v>1843450.9958170173</v>
      </c>
      <c r="P50" s="151">
        <f t="shared" si="3"/>
        <v>1924948.0838255503</v>
      </c>
      <c r="Q50" s="151">
        <f t="shared" si="3"/>
        <v>2010048.0749592232</v>
      </c>
      <c r="R50" s="151">
        <f t="shared" si="3"/>
        <v>2098910.2498898525</v>
      </c>
      <c r="S50" s="151">
        <f t="shared" si="3"/>
        <v>2191700.9309252733</v>
      </c>
      <c r="T50" s="151">
        <f t="shared" si="3"/>
        <v>2288593.7933128835</v>
      </c>
      <c r="U50" s="151">
        <f t="shared" si="3"/>
        <v>2389770.1903056013</v>
      </c>
      <c r="V50" s="151">
        <f t="shared" si="3"/>
        <v>2495419.4925986561</v>
      </c>
      <c r="W50" s="151">
        <f t="shared" si="3"/>
        <v>2605739.4427725361</v>
      </c>
      <c r="X50" s="151">
        <f t="shared" si="3"/>
        <v>2720936.5254054931</v>
      </c>
      <c r="Y50" s="151">
        <f t="shared" si="3"/>
        <v>2841226.3535483484</v>
      </c>
      <c r="Z50" s="151">
        <f t="shared" si="3"/>
        <v>2966834.0722849513</v>
      </c>
      <c r="AA50" s="151">
        <f t="shared" si="3"/>
        <v>3097994.7801336353</v>
      </c>
      <c r="AB50" s="151">
        <f t="shared" si="3"/>
        <v>3234953.9690784053</v>
      </c>
      <c r="AC50" s="151">
        <f t="shared" si="3"/>
        <v>3377967.9840534506</v>
      </c>
      <c r="AD50" s="151">
        <f t="shared" si="3"/>
        <v>3527304.5027410015</v>
      </c>
      <c r="AE50" s="151">
        <f t="shared" si="3"/>
        <v>3683243.0365805593</v>
      </c>
      <c r="AF50" s="151">
        <f t="shared" si="3"/>
        <v>3846075.4539272361</v>
      </c>
      <c r="AG50" s="151">
        <f t="shared" si="3"/>
        <v>4016106.5263383854</v>
      </c>
      <c r="AH50" s="151">
        <f t="shared" si="3"/>
        <v>4193654.4990110113</v>
      </c>
      <c r="AI50" s="151">
        <f t="shared" si="3"/>
        <v>4379051.6864376338</v>
      </c>
      <c r="AJ50" s="151">
        <f t="shared" si="3"/>
        <v>4572645.0943954922</v>
      </c>
      <c r="AK50" s="151">
        <f t="shared" si="3"/>
        <v>4774797.0694332533</v>
      </c>
      <c r="AL50" s="151">
        <f t="shared" si="3"/>
        <v>4985885.9770708689</v>
      </c>
      <c r="AM50" s="151">
        <f t="shared" si="3"/>
        <v>5206306.9099819548</v>
      </c>
      <c r="AN50" s="151">
        <f t="shared" si="3"/>
        <v>5436472.4274841901</v>
      </c>
      <c r="AO50" s="151">
        <f t="shared" si="3"/>
        <v>5676813.3277218333</v>
      </c>
      <c r="AP50" s="151">
        <f t="shared" si="3"/>
        <v>5927779.4539856445</v>
      </c>
      <c r="AQ50" s="151">
        <f t="shared" si="3"/>
        <v>0</v>
      </c>
      <c r="AR50" s="151">
        <f t="shared" si="3"/>
        <v>0</v>
      </c>
      <c r="AS50" s="151">
        <f t="shared" si="3"/>
        <v>0</v>
      </c>
      <c r="AT50" s="151">
        <f t="shared" si="3"/>
        <v>0</v>
      </c>
      <c r="AU50" s="151">
        <f t="shared" si="3"/>
        <v>0</v>
      </c>
      <c r="AV50" s="151">
        <f t="shared" si="3"/>
        <v>0</v>
      </c>
      <c r="AW50" s="151">
        <f t="shared" si="3"/>
        <v>0</v>
      </c>
      <c r="AX50" s="151">
        <f t="shared" si="3"/>
        <v>0</v>
      </c>
    </row>
    <row r="51" spans="1:51" ht="16.5" thickBot="1" x14ac:dyDescent="0.25">
      <c r="AY51" s="148"/>
    </row>
    <row r="52" spans="1:51"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c r="AY52" s="148"/>
    </row>
    <row r="53" spans="1:51" x14ac:dyDescent="0.2">
      <c r="A53" s="154"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c r="AY53" s="148"/>
    </row>
    <row r="54" spans="1:51"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c r="AY54" s="148"/>
    </row>
    <row r="55" spans="1:51" x14ac:dyDescent="0.2">
      <c r="A55" s="154"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51"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51"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51" x14ac:dyDescent="0.2">
      <c r="A58" s="152" t="s">
        <v>465</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51" ht="14.25" x14ac:dyDescent="0.2">
      <c r="A59" s="160" t="s">
        <v>265</v>
      </c>
      <c r="B59" s="200">
        <f t="shared" ref="B59:AP59" si="9">B50*$B$28</f>
        <v>0</v>
      </c>
      <c r="C59" s="200">
        <f t="shared" si="9"/>
        <v>0</v>
      </c>
      <c r="D59" s="200">
        <f t="shared" si="9"/>
        <v>447959.81456124829</v>
      </c>
      <c r="E59" s="200">
        <f t="shared" si="9"/>
        <v>757199.16942695202</v>
      </c>
      <c r="F59" s="200">
        <f t="shared" si="9"/>
        <v>1200911.1835589327</v>
      </c>
      <c r="G59" s="200">
        <f t="shared" si="9"/>
        <v>1304163.9997446984</v>
      </c>
      <c r="H59" s="200">
        <f t="shared" si="9"/>
        <v>1361819.7597871013</v>
      </c>
      <c r="I59" s="200">
        <f t="shared" si="9"/>
        <v>1422024.422165957</v>
      </c>
      <c r="J59" s="200">
        <f t="shared" si="9"/>
        <v>1484890.6712534083</v>
      </c>
      <c r="K59" s="200">
        <f t="shared" si="9"/>
        <v>1550536.17308274</v>
      </c>
      <c r="L59" s="200">
        <f t="shared" si="9"/>
        <v>1619083.7955825361</v>
      </c>
      <c r="M59" s="200">
        <f t="shared" si="9"/>
        <v>1690661.8385471662</v>
      </c>
      <c r="N59" s="200">
        <f t="shared" si="9"/>
        <v>1765404.2737740278</v>
      </c>
      <c r="O59" s="200">
        <f t="shared" si="9"/>
        <v>1843450.9958170173</v>
      </c>
      <c r="P59" s="200">
        <f t="shared" si="9"/>
        <v>1924948.0838255503</v>
      </c>
      <c r="Q59" s="200">
        <f t="shared" si="9"/>
        <v>2010048.0749592232</v>
      </c>
      <c r="R59" s="200">
        <f t="shared" si="9"/>
        <v>2098910.2498898525</v>
      </c>
      <c r="S59" s="200">
        <f t="shared" si="9"/>
        <v>2191700.9309252733</v>
      </c>
      <c r="T59" s="200">
        <f t="shared" si="9"/>
        <v>2288593.7933128835</v>
      </c>
      <c r="U59" s="200">
        <f t="shared" si="9"/>
        <v>2389770.1903056013</v>
      </c>
      <c r="V59" s="200">
        <f t="shared" si="9"/>
        <v>2495419.4925986561</v>
      </c>
      <c r="W59" s="200">
        <f t="shared" si="9"/>
        <v>2605739.4427725361</v>
      </c>
      <c r="X59" s="200">
        <f t="shared" si="9"/>
        <v>2720936.5254054931</v>
      </c>
      <c r="Y59" s="200">
        <f t="shared" si="9"/>
        <v>2841226.3535483484</v>
      </c>
      <c r="Z59" s="200">
        <f t="shared" si="9"/>
        <v>2966834.0722849513</v>
      </c>
      <c r="AA59" s="200">
        <f t="shared" si="9"/>
        <v>3097994.7801336353</v>
      </c>
      <c r="AB59" s="200">
        <f t="shared" si="9"/>
        <v>3234953.9690784053</v>
      </c>
      <c r="AC59" s="200">
        <f t="shared" si="9"/>
        <v>3377967.9840534506</v>
      </c>
      <c r="AD59" s="200">
        <f t="shared" si="9"/>
        <v>3527304.5027410015</v>
      </c>
      <c r="AE59" s="200">
        <f t="shared" si="9"/>
        <v>3683243.0365805593</v>
      </c>
      <c r="AF59" s="200">
        <f t="shared" si="9"/>
        <v>3846075.4539272361</v>
      </c>
      <c r="AG59" s="200">
        <f t="shared" si="9"/>
        <v>4016106.5263383854</v>
      </c>
      <c r="AH59" s="200">
        <f t="shared" si="9"/>
        <v>4193654.4990110113</v>
      </c>
      <c r="AI59" s="200">
        <f t="shared" si="9"/>
        <v>4379051.6864376338</v>
      </c>
      <c r="AJ59" s="200">
        <f t="shared" si="9"/>
        <v>4572645.0943954922</v>
      </c>
      <c r="AK59" s="200">
        <f t="shared" si="9"/>
        <v>4774797.0694332533</v>
      </c>
      <c r="AL59" s="200">
        <f t="shared" si="9"/>
        <v>4985885.9770708689</v>
      </c>
      <c r="AM59" s="200">
        <f t="shared" si="9"/>
        <v>5206306.9099819548</v>
      </c>
      <c r="AN59" s="200">
        <f t="shared" si="9"/>
        <v>5436472.4274841901</v>
      </c>
      <c r="AO59" s="200">
        <f t="shared" si="9"/>
        <v>5676813.3277218333</v>
      </c>
      <c r="AP59" s="200">
        <f t="shared" si="9"/>
        <v>5927779.4539856445</v>
      </c>
    </row>
    <row r="60" spans="1:51" x14ac:dyDescent="0.2">
      <c r="A60" s="154" t="s">
        <v>264</v>
      </c>
      <c r="B60" s="199">
        <f t="shared" ref="B60:Z60" si="10">SUM(B61:B65)</f>
        <v>0</v>
      </c>
      <c r="C60" s="199">
        <f t="shared" si="10"/>
        <v>0</v>
      </c>
      <c r="D60" s="199">
        <f>SUM(D61:D65)</f>
        <v>0</v>
      </c>
      <c r="E60" s="199">
        <f t="shared" si="10"/>
        <v>0</v>
      </c>
      <c r="F60" s="199">
        <f t="shared" si="10"/>
        <v>0</v>
      </c>
      <c r="G60" s="199">
        <f t="shared" si="10"/>
        <v>0</v>
      </c>
      <c r="H60" s="199">
        <f t="shared" si="10"/>
        <v>-137231.04028062904</v>
      </c>
      <c r="I60" s="199">
        <f t="shared" si="10"/>
        <v>0</v>
      </c>
      <c r="J60" s="199">
        <f t="shared" si="10"/>
        <v>0</v>
      </c>
      <c r="K60" s="199">
        <f t="shared" si="10"/>
        <v>0</v>
      </c>
      <c r="L60" s="199">
        <f t="shared" si="10"/>
        <v>0</v>
      </c>
      <c r="M60" s="199">
        <f t="shared" si="10"/>
        <v>0</v>
      </c>
      <c r="N60" s="199">
        <f t="shared" si="10"/>
        <v>-177900.38899402737</v>
      </c>
      <c r="O60" s="199">
        <f t="shared" si="10"/>
        <v>0</v>
      </c>
      <c r="P60" s="199">
        <f t="shared" si="10"/>
        <v>0</v>
      </c>
      <c r="Q60" s="199">
        <f t="shared" si="10"/>
        <v>0</v>
      </c>
      <c r="R60" s="199">
        <f t="shared" si="10"/>
        <v>0</v>
      </c>
      <c r="S60" s="199">
        <f t="shared" si="10"/>
        <v>0</v>
      </c>
      <c r="T60" s="199">
        <f t="shared" si="10"/>
        <v>-230622.37478858224</v>
      </c>
      <c r="U60" s="199">
        <f t="shared" si="10"/>
        <v>0</v>
      </c>
      <c r="V60" s="199">
        <f t="shared" si="10"/>
        <v>0</v>
      </c>
      <c r="W60" s="199">
        <f t="shared" si="10"/>
        <v>0</v>
      </c>
      <c r="X60" s="199">
        <f t="shared" si="10"/>
        <v>0</v>
      </c>
      <c r="Y60" s="199">
        <f t="shared" si="10"/>
        <v>0</v>
      </c>
      <c r="Z60" s="199">
        <f t="shared" si="10"/>
        <v>-298968.878336241</v>
      </c>
      <c r="AA60" s="199">
        <f t="shared" ref="AA60:AP60" si="11">SUM(AA61:AA65)</f>
        <v>0</v>
      </c>
      <c r="AB60" s="199">
        <f t="shared" si="11"/>
        <v>0</v>
      </c>
      <c r="AC60" s="199">
        <f t="shared" si="11"/>
        <v>0</v>
      </c>
      <c r="AD60" s="199">
        <f t="shared" si="11"/>
        <v>0</v>
      </c>
      <c r="AE60" s="199">
        <f t="shared" si="11"/>
        <v>0</v>
      </c>
      <c r="AF60" s="199">
        <f t="shared" si="11"/>
        <v>-387570.33135041333</v>
      </c>
      <c r="AG60" s="199">
        <f t="shared" si="11"/>
        <v>0</v>
      </c>
      <c r="AH60" s="199">
        <f t="shared" si="11"/>
        <v>0</v>
      </c>
      <c r="AI60" s="199">
        <f t="shared" si="11"/>
        <v>0</v>
      </c>
      <c r="AJ60" s="199">
        <f t="shared" si="11"/>
        <v>0</v>
      </c>
      <c r="AK60" s="199">
        <f t="shared" si="11"/>
        <v>0</v>
      </c>
      <c r="AL60" s="199">
        <f t="shared" si="11"/>
        <v>-502429.42536022718</v>
      </c>
      <c r="AM60" s="199">
        <f t="shared" si="11"/>
        <v>0</v>
      </c>
      <c r="AN60" s="199">
        <f t="shared" si="11"/>
        <v>0</v>
      </c>
      <c r="AO60" s="199">
        <f t="shared" si="11"/>
        <v>0</v>
      </c>
      <c r="AP60" s="199">
        <f t="shared" si="11"/>
        <v>0</v>
      </c>
    </row>
    <row r="61" spans="1:51" x14ac:dyDescent="0.2">
      <c r="A61" s="161" t="s">
        <v>263</v>
      </c>
      <c r="B61" s="199"/>
      <c r="C61" s="199">
        <f>-IF(C$47&lt;=$B$30,0,$B$29*(1+C$49)*$B$28)</f>
        <v>0</v>
      </c>
      <c r="D61" s="199">
        <f>-IF(D$47&lt;=$B$30,0,$B$29*(1+D$49)*$B$28)</f>
        <v>0</v>
      </c>
      <c r="E61" s="199">
        <f t="shared" ref="E61:AL61" si="12">-IF(E$47&lt;=$B$30,0,$B$29*(1+E$49)*$B$28)</f>
        <v>0</v>
      </c>
      <c r="F61" s="199">
        <f t="shared" si="12"/>
        <v>0</v>
      </c>
      <c r="G61" s="199">
        <f t="shared" si="12"/>
        <v>0</v>
      </c>
      <c r="H61" s="199">
        <f t="shared" si="12"/>
        <v>-137231.04028062904</v>
      </c>
      <c r="I61" s="199"/>
      <c r="J61" s="199"/>
      <c r="K61" s="199"/>
      <c r="L61" s="199"/>
      <c r="M61" s="199"/>
      <c r="N61" s="199">
        <f t="shared" si="12"/>
        <v>-177900.38899402737</v>
      </c>
      <c r="O61" s="199"/>
      <c r="P61" s="199"/>
      <c r="Q61" s="199"/>
      <c r="R61" s="199"/>
      <c r="S61" s="199"/>
      <c r="T61" s="199">
        <f t="shared" si="12"/>
        <v>-230622.37478858224</v>
      </c>
      <c r="U61" s="199"/>
      <c r="V61" s="199"/>
      <c r="W61" s="199"/>
      <c r="X61" s="199"/>
      <c r="Y61" s="199"/>
      <c r="Z61" s="199">
        <f t="shared" si="12"/>
        <v>-298968.878336241</v>
      </c>
      <c r="AA61" s="199"/>
      <c r="AB61" s="199"/>
      <c r="AC61" s="199"/>
      <c r="AD61" s="199"/>
      <c r="AE61" s="199"/>
      <c r="AF61" s="199">
        <f t="shared" si="12"/>
        <v>-387570.33135041333</v>
      </c>
      <c r="AG61" s="199"/>
      <c r="AH61" s="199"/>
      <c r="AI61" s="199"/>
      <c r="AJ61" s="199"/>
      <c r="AK61" s="199"/>
      <c r="AL61" s="199">
        <f t="shared" si="12"/>
        <v>-502429.42536022718</v>
      </c>
      <c r="AM61" s="199"/>
      <c r="AN61" s="199"/>
      <c r="AO61" s="199"/>
      <c r="AP61" s="199"/>
    </row>
    <row r="62" spans="1:51"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51" x14ac:dyDescent="0.2">
      <c r="A63" s="161"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51" x14ac:dyDescent="0.2">
      <c r="A64" s="161"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13">B59+B60</f>
        <v>0</v>
      </c>
      <c r="C66" s="200">
        <f t="shared" si="13"/>
        <v>0</v>
      </c>
      <c r="D66" s="200">
        <f t="shared" si="13"/>
        <v>447959.81456124829</v>
      </c>
      <c r="E66" s="200">
        <f t="shared" si="13"/>
        <v>757199.16942695202</v>
      </c>
      <c r="F66" s="200">
        <f t="shared" si="13"/>
        <v>1200911.1835589327</v>
      </c>
      <c r="G66" s="200">
        <f t="shared" si="13"/>
        <v>1304163.9997446984</v>
      </c>
      <c r="H66" s="200">
        <f t="shared" si="13"/>
        <v>1224588.7195064723</v>
      </c>
      <c r="I66" s="200">
        <f t="shared" si="13"/>
        <v>1422024.422165957</v>
      </c>
      <c r="J66" s="200">
        <f t="shared" si="13"/>
        <v>1484890.6712534083</v>
      </c>
      <c r="K66" s="200">
        <f t="shared" si="13"/>
        <v>1550536.17308274</v>
      </c>
      <c r="L66" s="200">
        <f t="shared" si="13"/>
        <v>1619083.7955825361</v>
      </c>
      <c r="M66" s="200">
        <f t="shared" si="13"/>
        <v>1690661.8385471662</v>
      </c>
      <c r="N66" s="200">
        <f t="shared" si="13"/>
        <v>1587503.8847800004</v>
      </c>
      <c r="O66" s="200">
        <f t="shared" si="13"/>
        <v>1843450.9958170173</v>
      </c>
      <c r="P66" s="200">
        <f t="shared" si="13"/>
        <v>1924948.0838255503</v>
      </c>
      <c r="Q66" s="200">
        <f t="shared" si="13"/>
        <v>2010048.0749592232</v>
      </c>
      <c r="R66" s="200">
        <f t="shared" si="13"/>
        <v>2098910.2498898525</v>
      </c>
      <c r="S66" s="200">
        <f t="shared" si="13"/>
        <v>2191700.9309252733</v>
      </c>
      <c r="T66" s="200">
        <f t="shared" si="13"/>
        <v>2057971.4185243011</v>
      </c>
      <c r="U66" s="200">
        <f t="shared" si="13"/>
        <v>2389770.1903056013</v>
      </c>
      <c r="V66" s="200">
        <f t="shared" si="13"/>
        <v>2495419.4925986561</v>
      </c>
      <c r="W66" s="200">
        <f t="shared" si="13"/>
        <v>2605739.4427725361</v>
      </c>
      <c r="X66" s="200">
        <f t="shared" si="13"/>
        <v>2720936.5254054931</v>
      </c>
      <c r="Y66" s="200">
        <f t="shared" si="13"/>
        <v>2841226.3535483484</v>
      </c>
      <c r="Z66" s="200">
        <f t="shared" si="13"/>
        <v>2667865.1939487103</v>
      </c>
      <c r="AA66" s="200">
        <f t="shared" si="13"/>
        <v>3097994.7801336353</v>
      </c>
      <c r="AB66" s="200">
        <f t="shared" si="13"/>
        <v>3234953.9690784053</v>
      </c>
      <c r="AC66" s="200">
        <f t="shared" si="13"/>
        <v>3377967.9840534506</v>
      </c>
      <c r="AD66" s="200">
        <f t="shared" si="13"/>
        <v>3527304.5027410015</v>
      </c>
      <c r="AE66" s="200">
        <f t="shared" si="13"/>
        <v>3683243.0365805593</v>
      </c>
      <c r="AF66" s="200">
        <f t="shared" si="13"/>
        <v>3458505.122576823</v>
      </c>
      <c r="AG66" s="200">
        <f t="shared" si="13"/>
        <v>4016106.5263383854</v>
      </c>
      <c r="AH66" s="200">
        <f t="shared" si="13"/>
        <v>4193654.4990110113</v>
      </c>
      <c r="AI66" s="200">
        <f t="shared" si="13"/>
        <v>4379051.6864376338</v>
      </c>
      <c r="AJ66" s="200">
        <f t="shared" si="13"/>
        <v>4572645.0943954922</v>
      </c>
      <c r="AK66" s="200">
        <f t="shared" si="13"/>
        <v>4774797.0694332533</v>
      </c>
      <c r="AL66" s="200">
        <f t="shared" si="13"/>
        <v>4483456.5517106419</v>
      </c>
      <c r="AM66" s="200">
        <f t="shared" si="13"/>
        <v>5206306.9099819548</v>
      </c>
      <c r="AN66" s="200">
        <f t="shared" si="13"/>
        <v>5436472.4274841901</v>
      </c>
      <c r="AO66" s="200">
        <f t="shared" si="13"/>
        <v>5676813.3277218333</v>
      </c>
      <c r="AP66" s="200">
        <f>AP59+AP60</f>
        <v>5927779.4539856445</v>
      </c>
    </row>
    <row r="67" spans="1:45" x14ac:dyDescent="0.2">
      <c r="A67" s="161" t="s">
        <v>256</v>
      </c>
      <c r="B67" s="163"/>
      <c r="C67" s="199"/>
      <c r="D67" s="199">
        <f>-($B$25)*$B$28/$B$27</f>
        <v>-315967.44237288134</v>
      </c>
      <c r="E67" s="199">
        <f t="shared" ref="E67:AP67" si="14">D67</f>
        <v>-315967.44237288134</v>
      </c>
      <c r="F67" s="199">
        <f t="shared" si="14"/>
        <v>-315967.44237288134</v>
      </c>
      <c r="G67" s="199">
        <f t="shared" si="14"/>
        <v>-315967.44237288134</v>
      </c>
      <c r="H67" s="199">
        <f t="shared" si="14"/>
        <v>-315967.44237288134</v>
      </c>
      <c r="I67" s="199">
        <f t="shared" si="14"/>
        <v>-315967.44237288134</v>
      </c>
      <c r="J67" s="199">
        <f t="shared" si="14"/>
        <v>-315967.44237288134</v>
      </c>
      <c r="K67" s="199">
        <f t="shared" si="14"/>
        <v>-315967.44237288134</v>
      </c>
      <c r="L67" s="199">
        <f t="shared" si="14"/>
        <v>-315967.44237288134</v>
      </c>
      <c r="M67" s="199">
        <f t="shared" si="14"/>
        <v>-315967.44237288134</v>
      </c>
      <c r="N67" s="199">
        <f t="shared" si="14"/>
        <v>-315967.44237288134</v>
      </c>
      <c r="O67" s="199">
        <f t="shared" si="14"/>
        <v>-315967.44237288134</v>
      </c>
      <c r="P67" s="199">
        <f t="shared" si="14"/>
        <v>-315967.44237288134</v>
      </c>
      <c r="Q67" s="199">
        <f t="shared" si="14"/>
        <v>-315967.44237288134</v>
      </c>
      <c r="R67" s="199">
        <f t="shared" si="14"/>
        <v>-315967.44237288134</v>
      </c>
      <c r="S67" s="199">
        <f t="shared" si="14"/>
        <v>-315967.44237288134</v>
      </c>
      <c r="T67" s="199">
        <f t="shared" si="14"/>
        <v>-315967.44237288134</v>
      </c>
      <c r="U67" s="199">
        <f t="shared" si="14"/>
        <v>-315967.44237288134</v>
      </c>
      <c r="V67" s="199">
        <f t="shared" si="14"/>
        <v>-315967.44237288134</v>
      </c>
      <c r="W67" s="199">
        <f t="shared" si="14"/>
        <v>-315967.44237288134</v>
      </c>
      <c r="X67" s="199">
        <f t="shared" si="14"/>
        <v>-315967.44237288134</v>
      </c>
      <c r="Y67" s="199">
        <f t="shared" si="14"/>
        <v>-315967.44237288134</v>
      </c>
      <c r="Z67" s="199">
        <f t="shared" si="14"/>
        <v>-315967.44237288134</v>
      </c>
      <c r="AA67" s="199">
        <f t="shared" si="14"/>
        <v>-315967.44237288134</v>
      </c>
      <c r="AB67" s="199">
        <f t="shared" si="14"/>
        <v>-315967.44237288134</v>
      </c>
      <c r="AC67" s="199">
        <f t="shared" si="14"/>
        <v>-315967.44237288134</v>
      </c>
      <c r="AD67" s="199">
        <f t="shared" si="14"/>
        <v>-315967.44237288134</v>
      </c>
      <c r="AE67" s="199">
        <f t="shared" si="14"/>
        <v>-315967.44237288134</v>
      </c>
      <c r="AF67" s="199">
        <f t="shared" si="14"/>
        <v>-315967.44237288134</v>
      </c>
      <c r="AG67" s="199">
        <f t="shared" si="14"/>
        <v>-315967.44237288134</v>
      </c>
      <c r="AH67" s="199">
        <f t="shared" si="14"/>
        <v>-315967.44237288134</v>
      </c>
      <c r="AI67" s="199">
        <f t="shared" si="14"/>
        <v>-315967.44237288134</v>
      </c>
      <c r="AJ67" s="199">
        <f t="shared" si="14"/>
        <v>-315967.44237288134</v>
      </c>
      <c r="AK67" s="199">
        <f t="shared" si="14"/>
        <v>-315967.44237288134</v>
      </c>
      <c r="AL67" s="199">
        <f t="shared" si="14"/>
        <v>-315967.44237288134</v>
      </c>
      <c r="AM67" s="199">
        <f t="shared" si="14"/>
        <v>-315967.44237288134</v>
      </c>
      <c r="AN67" s="199">
        <f t="shared" si="14"/>
        <v>-315967.44237288134</v>
      </c>
      <c r="AO67" s="199">
        <f t="shared" si="14"/>
        <v>-315967.44237288134</v>
      </c>
      <c r="AP67" s="199">
        <f t="shared" si="14"/>
        <v>-315967.44237288134</v>
      </c>
      <c r="AQ67" s="164">
        <f>SUM(B67:AA67)/1.18</f>
        <v>-6426456.4550416516</v>
      </c>
      <c r="AR67" s="165">
        <f>SUM(B67:AF67)/1.18</f>
        <v>-7765301.5498419944</v>
      </c>
      <c r="AS67" s="165">
        <f>SUM(B67:AP67)/1.18</f>
        <v>-10442991.73944268</v>
      </c>
    </row>
    <row r="68" spans="1:45" ht="28.5" x14ac:dyDescent="0.2">
      <c r="A68" s="162" t="s">
        <v>257</v>
      </c>
      <c r="B68" s="200">
        <f t="shared" ref="B68:J68" si="15">B66+B67</f>
        <v>0</v>
      </c>
      <c r="C68" s="200">
        <f>C66+C67</f>
        <v>0</v>
      </c>
      <c r="D68" s="200">
        <f>D66+D67</f>
        <v>131992.37218836695</v>
      </c>
      <c r="E68" s="200">
        <f t="shared" si="15"/>
        <v>441231.72705407068</v>
      </c>
      <c r="F68" s="200">
        <f>F66+C67</f>
        <v>1200911.1835589327</v>
      </c>
      <c r="G68" s="200">
        <f t="shared" si="15"/>
        <v>988196.55737181706</v>
      </c>
      <c r="H68" s="200">
        <f t="shared" si="15"/>
        <v>908621.27713359101</v>
      </c>
      <c r="I68" s="200">
        <f t="shared" si="15"/>
        <v>1106056.9797930757</v>
      </c>
      <c r="J68" s="200">
        <f t="shared" si="15"/>
        <v>1168923.228880527</v>
      </c>
      <c r="K68" s="200">
        <f>K66+K67</f>
        <v>1234568.7307098587</v>
      </c>
      <c r="L68" s="200">
        <f>L66+L67</f>
        <v>1303116.3532096548</v>
      </c>
      <c r="M68" s="200">
        <f t="shared" ref="M68:AO68" si="16">M66+M67</f>
        <v>1374694.3961742849</v>
      </c>
      <c r="N68" s="200">
        <f t="shared" si="16"/>
        <v>1271536.4424071191</v>
      </c>
      <c r="O68" s="200">
        <f t="shared" si="16"/>
        <v>1527483.5534441359</v>
      </c>
      <c r="P68" s="200">
        <f t="shared" si="16"/>
        <v>1608980.6414526689</v>
      </c>
      <c r="Q68" s="200">
        <f t="shared" si="16"/>
        <v>1694080.6325863418</v>
      </c>
      <c r="R68" s="200">
        <f t="shared" si="16"/>
        <v>1782942.8075169711</v>
      </c>
      <c r="S68" s="200">
        <f t="shared" si="16"/>
        <v>1875733.488552392</v>
      </c>
      <c r="T68" s="200">
        <f t="shared" si="16"/>
        <v>1742003.9761514198</v>
      </c>
      <c r="U68" s="200">
        <f t="shared" si="16"/>
        <v>2073802.74793272</v>
      </c>
      <c r="V68" s="200">
        <f t="shared" si="16"/>
        <v>2179452.0502257748</v>
      </c>
      <c r="W68" s="200">
        <f t="shared" si="16"/>
        <v>2289772.0003996547</v>
      </c>
      <c r="X68" s="200">
        <f t="shared" si="16"/>
        <v>2404969.0830326118</v>
      </c>
      <c r="Y68" s="200">
        <f t="shared" si="16"/>
        <v>2525258.9111754671</v>
      </c>
      <c r="Z68" s="200">
        <f t="shared" si="16"/>
        <v>2351897.751575829</v>
      </c>
      <c r="AA68" s="200">
        <f t="shared" si="16"/>
        <v>2782027.3377607539</v>
      </c>
      <c r="AB68" s="200">
        <f t="shared" si="16"/>
        <v>2918986.526705524</v>
      </c>
      <c r="AC68" s="200">
        <f t="shared" si="16"/>
        <v>3062000.5416805693</v>
      </c>
      <c r="AD68" s="200">
        <f t="shared" si="16"/>
        <v>3211337.0603681202</v>
      </c>
      <c r="AE68" s="200">
        <f t="shared" si="16"/>
        <v>3367275.594207678</v>
      </c>
      <c r="AF68" s="200">
        <f t="shared" si="16"/>
        <v>3142537.6802039417</v>
      </c>
      <c r="AG68" s="200">
        <f t="shared" si="16"/>
        <v>3700139.0839655041</v>
      </c>
      <c r="AH68" s="200">
        <f t="shared" si="16"/>
        <v>3877687.05663813</v>
      </c>
      <c r="AI68" s="200">
        <f t="shared" si="16"/>
        <v>4063084.2440647525</v>
      </c>
      <c r="AJ68" s="200">
        <f t="shared" si="16"/>
        <v>4256677.6520226113</v>
      </c>
      <c r="AK68" s="200">
        <f t="shared" si="16"/>
        <v>4458829.6270603724</v>
      </c>
      <c r="AL68" s="200">
        <f t="shared" si="16"/>
        <v>4167489.1093377606</v>
      </c>
      <c r="AM68" s="200">
        <f t="shared" si="16"/>
        <v>4890339.467609074</v>
      </c>
      <c r="AN68" s="200">
        <f t="shared" si="16"/>
        <v>5120504.9851113092</v>
      </c>
      <c r="AO68" s="200">
        <f t="shared" si="16"/>
        <v>5360845.8853489514</v>
      </c>
      <c r="AP68" s="200">
        <f>AP66+AP67</f>
        <v>5611812.0116127636</v>
      </c>
      <c r="AQ68" s="108">
        <v>25</v>
      </c>
      <c r="AR68" s="108">
        <v>30</v>
      </c>
      <c r="AS68" s="108">
        <v>40</v>
      </c>
    </row>
    <row r="69" spans="1:45" x14ac:dyDescent="0.2">
      <c r="A69" s="161"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5" ht="14.25" x14ac:dyDescent="0.2">
      <c r="A70" s="162" t="s">
        <v>260</v>
      </c>
      <c r="B70" s="200">
        <f t="shared" ref="B70:AO70" si="18">B68+B69</f>
        <v>0</v>
      </c>
      <c r="C70" s="200">
        <f t="shared" si="18"/>
        <v>0</v>
      </c>
      <c r="D70" s="200">
        <f t="shared" si="18"/>
        <v>131992.37218836695</v>
      </c>
      <c r="E70" s="200">
        <f t="shared" si="18"/>
        <v>441231.72705407068</v>
      </c>
      <c r="F70" s="200">
        <f t="shared" si="18"/>
        <v>1200911.1835589327</v>
      </c>
      <c r="G70" s="200">
        <f t="shared" si="18"/>
        <v>988196.55737181706</v>
      </c>
      <c r="H70" s="200">
        <f t="shared" si="18"/>
        <v>908621.27713359101</v>
      </c>
      <c r="I70" s="200">
        <f t="shared" si="18"/>
        <v>1106056.9797930757</v>
      </c>
      <c r="J70" s="200">
        <f t="shared" si="18"/>
        <v>1168923.228880527</v>
      </c>
      <c r="K70" s="200">
        <f t="shared" si="18"/>
        <v>1234568.7307098587</v>
      </c>
      <c r="L70" s="200">
        <f t="shared" si="18"/>
        <v>1303116.3532096548</v>
      </c>
      <c r="M70" s="200">
        <f t="shared" si="18"/>
        <v>1374694.3961742849</v>
      </c>
      <c r="N70" s="200">
        <f t="shared" si="18"/>
        <v>1271536.4424071191</v>
      </c>
      <c r="O70" s="200">
        <f t="shared" si="18"/>
        <v>1527483.5534441359</v>
      </c>
      <c r="P70" s="200">
        <f t="shared" si="18"/>
        <v>1608980.6414526689</v>
      </c>
      <c r="Q70" s="200">
        <f t="shared" si="18"/>
        <v>1694080.6325863418</v>
      </c>
      <c r="R70" s="200">
        <f t="shared" si="18"/>
        <v>1782942.8075169711</v>
      </c>
      <c r="S70" s="200">
        <f t="shared" si="18"/>
        <v>1875733.488552392</v>
      </c>
      <c r="T70" s="200">
        <f t="shared" si="18"/>
        <v>1742003.9761514198</v>
      </c>
      <c r="U70" s="200">
        <f t="shared" si="18"/>
        <v>2073802.74793272</v>
      </c>
      <c r="V70" s="200">
        <f t="shared" si="18"/>
        <v>2179452.0502257748</v>
      </c>
      <c r="W70" s="200">
        <f t="shared" si="18"/>
        <v>2289772.0003996547</v>
      </c>
      <c r="X70" s="200">
        <f t="shared" si="18"/>
        <v>2404969.0830326118</v>
      </c>
      <c r="Y70" s="200">
        <f t="shared" si="18"/>
        <v>2525258.9111754671</v>
      </c>
      <c r="Z70" s="200">
        <f t="shared" si="18"/>
        <v>2351897.751575829</v>
      </c>
      <c r="AA70" s="200">
        <f t="shared" si="18"/>
        <v>2782027.3377607539</v>
      </c>
      <c r="AB70" s="200">
        <f t="shared" si="18"/>
        <v>2918986.526705524</v>
      </c>
      <c r="AC70" s="200">
        <f t="shared" si="18"/>
        <v>3062000.5416805693</v>
      </c>
      <c r="AD70" s="200">
        <f t="shared" si="18"/>
        <v>3211337.0603681202</v>
      </c>
      <c r="AE70" s="200">
        <f t="shared" si="18"/>
        <v>3367275.594207678</v>
      </c>
      <c r="AF70" s="200">
        <f t="shared" si="18"/>
        <v>3142537.6802039417</v>
      </c>
      <c r="AG70" s="200">
        <f t="shared" si="18"/>
        <v>3700139.0839655041</v>
      </c>
      <c r="AH70" s="200">
        <f t="shared" si="18"/>
        <v>3877687.05663813</v>
      </c>
      <c r="AI70" s="200">
        <f t="shared" si="18"/>
        <v>4063084.2440647525</v>
      </c>
      <c r="AJ70" s="200">
        <f t="shared" si="18"/>
        <v>4256677.6520226113</v>
      </c>
      <c r="AK70" s="200">
        <f t="shared" si="18"/>
        <v>4458829.6270603724</v>
      </c>
      <c r="AL70" s="200">
        <f t="shared" si="18"/>
        <v>4167489.1093377606</v>
      </c>
      <c r="AM70" s="200">
        <f t="shared" si="18"/>
        <v>4890339.467609074</v>
      </c>
      <c r="AN70" s="200">
        <f t="shared" si="18"/>
        <v>5120504.9851113092</v>
      </c>
      <c r="AO70" s="200">
        <f t="shared" si="18"/>
        <v>5360845.8853489514</v>
      </c>
      <c r="AP70" s="200">
        <f>AP68+AP69</f>
        <v>5611812.0116127636</v>
      </c>
    </row>
    <row r="71" spans="1:45" x14ac:dyDescent="0.2">
      <c r="A71" s="161" t="s">
        <v>254</v>
      </c>
      <c r="B71" s="199">
        <f t="shared" ref="B71:AP71" si="19">-B70*$B$36</f>
        <v>0</v>
      </c>
      <c r="C71" s="199">
        <f t="shared" si="19"/>
        <v>0</v>
      </c>
      <c r="D71" s="199">
        <f t="shared" si="19"/>
        <v>-26398.474437673391</v>
      </c>
      <c r="E71" s="199">
        <f t="shared" si="19"/>
        <v>-88246.345410814145</v>
      </c>
      <c r="F71" s="199">
        <f t="shared" si="19"/>
        <v>-240182.23671178657</v>
      </c>
      <c r="G71" s="199">
        <f t="shared" si="19"/>
        <v>-197639.31147436344</v>
      </c>
      <c r="H71" s="199">
        <f t="shared" si="19"/>
        <v>-181724.25542671821</v>
      </c>
      <c r="I71" s="199">
        <f t="shared" si="19"/>
        <v>-221211.39595861515</v>
      </c>
      <c r="J71" s="199">
        <f t="shared" si="19"/>
        <v>-233784.6457761054</v>
      </c>
      <c r="K71" s="199">
        <f t="shared" si="19"/>
        <v>-246913.74614197176</v>
      </c>
      <c r="L71" s="199">
        <f t="shared" si="19"/>
        <v>-260623.27064193098</v>
      </c>
      <c r="M71" s="199">
        <f t="shared" si="19"/>
        <v>-274938.87923485698</v>
      </c>
      <c r="N71" s="199">
        <f t="shared" si="19"/>
        <v>-254307.28848142384</v>
      </c>
      <c r="O71" s="199">
        <f t="shared" si="19"/>
        <v>-305496.71068882721</v>
      </c>
      <c r="P71" s="199">
        <f t="shared" si="19"/>
        <v>-321796.12829053379</v>
      </c>
      <c r="Q71" s="199">
        <f t="shared" si="19"/>
        <v>-338816.12651726836</v>
      </c>
      <c r="R71" s="199">
        <f t="shared" si="19"/>
        <v>-356588.56150339427</v>
      </c>
      <c r="S71" s="199">
        <f t="shared" si="19"/>
        <v>-375146.69771047845</v>
      </c>
      <c r="T71" s="199">
        <f t="shared" si="19"/>
        <v>-348400.79523028398</v>
      </c>
      <c r="U71" s="199">
        <f t="shared" si="19"/>
        <v>-414760.54958654405</v>
      </c>
      <c r="V71" s="199">
        <f t="shared" si="19"/>
        <v>-435890.41004515497</v>
      </c>
      <c r="W71" s="199">
        <f t="shared" si="19"/>
        <v>-457954.40007993096</v>
      </c>
      <c r="X71" s="199">
        <f t="shared" si="19"/>
        <v>-480993.81660652236</v>
      </c>
      <c r="Y71" s="199">
        <f t="shared" si="19"/>
        <v>-505051.78223509341</v>
      </c>
      <c r="Z71" s="199">
        <f t="shared" si="19"/>
        <v>-470379.55031516583</v>
      </c>
      <c r="AA71" s="199">
        <f t="shared" si="19"/>
        <v>-556405.46755215083</v>
      </c>
      <c r="AB71" s="199">
        <f t="shared" si="19"/>
        <v>-583797.30534110486</v>
      </c>
      <c r="AC71" s="199">
        <f t="shared" si="19"/>
        <v>-612400.10833611386</v>
      </c>
      <c r="AD71" s="199">
        <f t="shared" si="19"/>
        <v>-642267.41207362409</v>
      </c>
      <c r="AE71" s="199">
        <f t="shared" si="19"/>
        <v>-673455.11884153564</v>
      </c>
      <c r="AF71" s="199">
        <f t="shared" si="19"/>
        <v>-628507.5360407884</v>
      </c>
      <c r="AG71" s="199">
        <f t="shared" si="19"/>
        <v>-740027.81679310091</v>
      </c>
      <c r="AH71" s="199">
        <f t="shared" si="19"/>
        <v>-775537.41132762609</v>
      </c>
      <c r="AI71" s="199">
        <f t="shared" si="19"/>
        <v>-812616.84881295054</v>
      </c>
      <c r="AJ71" s="199">
        <f t="shared" si="19"/>
        <v>-851335.53040452232</v>
      </c>
      <c r="AK71" s="199">
        <f t="shared" si="19"/>
        <v>-891765.92541207455</v>
      </c>
      <c r="AL71" s="199">
        <f t="shared" si="19"/>
        <v>-833497.82186755212</v>
      </c>
      <c r="AM71" s="199">
        <f t="shared" si="19"/>
        <v>-978067.89352181484</v>
      </c>
      <c r="AN71" s="199">
        <f t="shared" si="19"/>
        <v>-1024100.9970222618</v>
      </c>
      <c r="AO71" s="199">
        <f t="shared" si="19"/>
        <v>-1072169.1770697904</v>
      </c>
      <c r="AP71" s="199">
        <f t="shared" si="19"/>
        <v>-1122362.4023225529</v>
      </c>
    </row>
    <row r="72" spans="1:45" ht="15" thickBot="1" x14ac:dyDescent="0.25">
      <c r="A72" s="166" t="s">
        <v>259</v>
      </c>
      <c r="B72" s="167">
        <f t="shared" ref="B72:AO72" si="20">B70+B71</f>
        <v>0</v>
      </c>
      <c r="C72" s="167">
        <f t="shared" si="20"/>
        <v>0</v>
      </c>
      <c r="D72" s="167">
        <f t="shared" si="20"/>
        <v>105593.89775069356</v>
      </c>
      <c r="E72" s="167">
        <f t="shared" si="20"/>
        <v>352985.38164325652</v>
      </c>
      <c r="F72" s="167">
        <f t="shared" si="20"/>
        <v>960728.94684714614</v>
      </c>
      <c r="G72" s="167">
        <f t="shared" si="20"/>
        <v>790557.24589745363</v>
      </c>
      <c r="H72" s="167">
        <f t="shared" si="20"/>
        <v>726897.02170687285</v>
      </c>
      <c r="I72" s="167">
        <f t="shared" si="20"/>
        <v>884845.58383446059</v>
      </c>
      <c r="J72" s="167">
        <f t="shared" si="20"/>
        <v>935138.58310442162</v>
      </c>
      <c r="K72" s="167">
        <f t="shared" si="20"/>
        <v>987654.98456788692</v>
      </c>
      <c r="L72" s="167">
        <f t="shared" si="20"/>
        <v>1042493.0825677238</v>
      </c>
      <c r="M72" s="167">
        <f t="shared" si="20"/>
        <v>1099755.5169394279</v>
      </c>
      <c r="N72" s="167">
        <f t="shared" si="20"/>
        <v>1017229.1539256952</v>
      </c>
      <c r="O72" s="167">
        <f t="shared" si="20"/>
        <v>1221986.8427553088</v>
      </c>
      <c r="P72" s="167">
        <f t="shared" si="20"/>
        <v>1287184.5131621351</v>
      </c>
      <c r="Q72" s="167">
        <f t="shared" si="20"/>
        <v>1355264.5060690735</v>
      </c>
      <c r="R72" s="167">
        <f t="shared" si="20"/>
        <v>1426354.2460135769</v>
      </c>
      <c r="S72" s="167">
        <f t="shared" si="20"/>
        <v>1500586.7908419135</v>
      </c>
      <c r="T72" s="167">
        <f t="shared" si="20"/>
        <v>1393603.1809211359</v>
      </c>
      <c r="U72" s="167">
        <f t="shared" si="20"/>
        <v>1659042.198346176</v>
      </c>
      <c r="V72" s="167">
        <f t="shared" si="20"/>
        <v>1743561.6401806199</v>
      </c>
      <c r="W72" s="167">
        <f t="shared" si="20"/>
        <v>1831817.6003197238</v>
      </c>
      <c r="X72" s="167">
        <f t="shared" si="20"/>
        <v>1923975.2664260895</v>
      </c>
      <c r="Y72" s="167">
        <f t="shared" si="20"/>
        <v>2020207.1289403737</v>
      </c>
      <c r="Z72" s="167">
        <f t="shared" si="20"/>
        <v>1881518.2012606631</v>
      </c>
      <c r="AA72" s="167">
        <f t="shared" si="20"/>
        <v>2225621.8702086033</v>
      </c>
      <c r="AB72" s="167">
        <f t="shared" si="20"/>
        <v>2335189.221364419</v>
      </c>
      <c r="AC72" s="167">
        <f t="shared" si="20"/>
        <v>2449600.4333444554</v>
      </c>
      <c r="AD72" s="167">
        <f t="shared" si="20"/>
        <v>2569069.6482944963</v>
      </c>
      <c r="AE72" s="167">
        <f t="shared" si="20"/>
        <v>2693820.4753661426</v>
      </c>
      <c r="AF72" s="167">
        <f t="shared" si="20"/>
        <v>2514030.1441631531</v>
      </c>
      <c r="AG72" s="167">
        <f t="shared" si="20"/>
        <v>2960111.2671724032</v>
      </c>
      <c r="AH72" s="167">
        <f t="shared" si="20"/>
        <v>3102149.6453105039</v>
      </c>
      <c r="AI72" s="167">
        <f t="shared" si="20"/>
        <v>3250467.3952518022</v>
      </c>
      <c r="AJ72" s="167">
        <f t="shared" si="20"/>
        <v>3405342.1216180893</v>
      </c>
      <c r="AK72" s="167">
        <f t="shared" si="20"/>
        <v>3567063.7016482977</v>
      </c>
      <c r="AL72" s="167">
        <f t="shared" si="20"/>
        <v>3333991.2874702085</v>
      </c>
      <c r="AM72" s="167">
        <f t="shared" si="20"/>
        <v>3912271.5740872594</v>
      </c>
      <c r="AN72" s="167">
        <f t="shared" si="20"/>
        <v>4096403.9880890474</v>
      </c>
      <c r="AO72" s="167">
        <f t="shared" si="20"/>
        <v>4288676.7082791608</v>
      </c>
      <c r="AP72" s="167">
        <f>AP70+AP71</f>
        <v>4489449.6092902105</v>
      </c>
    </row>
    <row r="73" spans="1:45" s="402" customFormat="1" ht="16.5" thickBot="1" x14ac:dyDescent="0.25">
      <c r="A73" s="399"/>
      <c r="B73" s="400">
        <f>B144</f>
        <v>0.5</v>
      </c>
      <c r="C73" s="400">
        <f t="shared" ref="C73:AP73" si="21">C144</f>
        <v>1.5</v>
      </c>
      <c r="D73" s="400">
        <f t="shared" si="21"/>
        <v>2.5</v>
      </c>
      <c r="E73" s="400">
        <f t="shared" si="21"/>
        <v>3.5</v>
      </c>
      <c r="F73" s="400">
        <f t="shared" si="21"/>
        <v>4.5</v>
      </c>
      <c r="G73" s="400">
        <f t="shared" si="21"/>
        <v>5.5</v>
      </c>
      <c r="H73" s="400">
        <f t="shared" si="21"/>
        <v>6.5</v>
      </c>
      <c r="I73" s="400">
        <f t="shared" si="21"/>
        <v>7.5</v>
      </c>
      <c r="J73" s="400">
        <f t="shared" si="21"/>
        <v>8.5</v>
      </c>
      <c r="K73" s="400">
        <f t="shared" si="21"/>
        <v>9.5</v>
      </c>
      <c r="L73" s="400">
        <f t="shared" si="21"/>
        <v>10.5</v>
      </c>
      <c r="M73" s="400">
        <f t="shared" si="21"/>
        <v>11.5</v>
      </c>
      <c r="N73" s="400">
        <f t="shared" si="21"/>
        <v>12.5</v>
      </c>
      <c r="O73" s="400">
        <f t="shared" si="21"/>
        <v>13.5</v>
      </c>
      <c r="P73" s="400">
        <f t="shared" si="21"/>
        <v>14.5</v>
      </c>
      <c r="Q73" s="400">
        <f t="shared" si="21"/>
        <v>15.5</v>
      </c>
      <c r="R73" s="400">
        <f t="shared" si="21"/>
        <v>16.5</v>
      </c>
      <c r="S73" s="400">
        <f t="shared" si="21"/>
        <v>17.5</v>
      </c>
      <c r="T73" s="400">
        <f t="shared" si="21"/>
        <v>18.5</v>
      </c>
      <c r="U73" s="400">
        <f t="shared" si="21"/>
        <v>19.5</v>
      </c>
      <c r="V73" s="400">
        <f t="shared" si="21"/>
        <v>20.5</v>
      </c>
      <c r="W73" s="400">
        <f t="shared" si="21"/>
        <v>21.5</v>
      </c>
      <c r="X73" s="400">
        <f t="shared" si="21"/>
        <v>22.5</v>
      </c>
      <c r="Y73" s="400">
        <f t="shared" si="21"/>
        <v>23.5</v>
      </c>
      <c r="Z73" s="400">
        <f t="shared" si="21"/>
        <v>24.5</v>
      </c>
      <c r="AA73" s="400">
        <f t="shared" si="21"/>
        <v>25.5</v>
      </c>
      <c r="AB73" s="400">
        <f t="shared" si="21"/>
        <v>26.5</v>
      </c>
      <c r="AC73" s="400">
        <f t="shared" si="21"/>
        <v>27.5</v>
      </c>
      <c r="AD73" s="400">
        <f t="shared" si="21"/>
        <v>28.5</v>
      </c>
      <c r="AE73" s="400">
        <f t="shared" si="21"/>
        <v>29.5</v>
      </c>
      <c r="AF73" s="400">
        <f t="shared" si="21"/>
        <v>30.5</v>
      </c>
      <c r="AG73" s="400">
        <f t="shared" si="21"/>
        <v>31.5</v>
      </c>
      <c r="AH73" s="400">
        <f t="shared" si="21"/>
        <v>32.5</v>
      </c>
      <c r="AI73" s="400">
        <f t="shared" si="21"/>
        <v>33.5</v>
      </c>
      <c r="AJ73" s="400">
        <f t="shared" si="21"/>
        <v>34.5</v>
      </c>
      <c r="AK73" s="400">
        <f t="shared" si="21"/>
        <v>35.5</v>
      </c>
      <c r="AL73" s="400">
        <f t="shared" si="21"/>
        <v>36.5</v>
      </c>
      <c r="AM73" s="400">
        <f t="shared" si="21"/>
        <v>37.5</v>
      </c>
      <c r="AN73" s="400">
        <f t="shared" si="21"/>
        <v>38.5</v>
      </c>
      <c r="AO73" s="400">
        <f t="shared" si="21"/>
        <v>39.5</v>
      </c>
      <c r="AP73" s="400">
        <f t="shared" si="21"/>
        <v>40.5</v>
      </c>
      <c r="AQ73" s="401"/>
      <c r="AR73" s="401"/>
      <c r="AS73" s="401"/>
    </row>
    <row r="74" spans="1:45"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5" ht="28.5" x14ac:dyDescent="0.2">
      <c r="A75" s="160" t="s">
        <v>257</v>
      </c>
      <c r="B75" s="200">
        <f t="shared" ref="B75:AO75" si="23">B68</f>
        <v>0</v>
      </c>
      <c r="C75" s="200">
        <f t="shared" si="23"/>
        <v>0</v>
      </c>
      <c r="D75" s="200">
        <f>D68</f>
        <v>131992.37218836695</v>
      </c>
      <c r="E75" s="200">
        <f t="shared" si="23"/>
        <v>441231.72705407068</v>
      </c>
      <c r="F75" s="200">
        <f t="shared" si="23"/>
        <v>1200911.1835589327</v>
      </c>
      <c r="G75" s="200">
        <f t="shared" si="23"/>
        <v>988196.55737181706</v>
      </c>
      <c r="H75" s="200">
        <f t="shared" si="23"/>
        <v>908621.27713359101</v>
      </c>
      <c r="I75" s="200">
        <f t="shared" si="23"/>
        <v>1106056.9797930757</v>
      </c>
      <c r="J75" s="200">
        <f t="shared" si="23"/>
        <v>1168923.228880527</v>
      </c>
      <c r="K75" s="200">
        <f t="shared" si="23"/>
        <v>1234568.7307098587</v>
      </c>
      <c r="L75" s="200">
        <f t="shared" si="23"/>
        <v>1303116.3532096548</v>
      </c>
      <c r="M75" s="200">
        <f t="shared" si="23"/>
        <v>1374694.3961742849</v>
      </c>
      <c r="N75" s="200">
        <f t="shared" si="23"/>
        <v>1271536.4424071191</v>
      </c>
      <c r="O75" s="200">
        <f t="shared" si="23"/>
        <v>1527483.5534441359</v>
      </c>
      <c r="P75" s="200">
        <f t="shared" si="23"/>
        <v>1608980.6414526689</v>
      </c>
      <c r="Q75" s="200">
        <f t="shared" si="23"/>
        <v>1694080.6325863418</v>
      </c>
      <c r="R75" s="200">
        <f t="shared" si="23"/>
        <v>1782942.8075169711</v>
      </c>
      <c r="S75" s="200">
        <f t="shared" si="23"/>
        <v>1875733.488552392</v>
      </c>
      <c r="T75" s="200">
        <f t="shared" si="23"/>
        <v>1742003.9761514198</v>
      </c>
      <c r="U75" s="200">
        <f t="shared" si="23"/>
        <v>2073802.74793272</v>
      </c>
      <c r="V75" s="200">
        <f t="shared" si="23"/>
        <v>2179452.0502257748</v>
      </c>
      <c r="W75" s="200">
        <f t="shared" si="23"/>
        <v>2289772.0003996547</v>
      </c>
      <c r="X75" s="200">
        <f t="shared" si="23"/>
        <v>2404969.0830326118</v>
      </c>
      <c r="Y75" s="200">
        <f t="shared" si="23"/>
        <v>2525258.9111754671</v>
      </c>
      <c r="Z75" s="200">
        <f t="shared" si="23"/>
        <v>2351897.751575829</v>
      </c>
      <c r="AA75" s="200">
        <f t="shared" si="23"/>
        <v>2782027.3377607539</v>
      </c>
      <c r="AB75" s="200">
        <f t="shared" si="23"/>
        <v>2918986.526705524</v>
      </c>
      <c r="AC75" s="200">
        <f t="shared" si="23"/>
        <v>3062000.5416805693</v>
      </c>
      <c r="AD75" s="200">
        <f t="shared" si="23"/>
        <v>3211337.0603681202</v>
      </c>
      <c r="AE75" s="200">
        <f t="shared" si="23"/>
        <v>3367275.594207678</v>
      </c>
      <c r="AF75" s="200">
        <f t="shared" si="23"/>
        <v>3142537.6802039417</v>
      </c>
      <c r="AG75" s="200">
        <f t="shared" si="23"/>
        <v>3700139.0839655041</v>
      </c>
      <c r="AH75" s="200">
        <f t="shared" si="23"/>
        <v>3877687.05663813</v>
      </c>
      <c r="AI75" s="200">
        <f t="shared" si="23"/>
        <v>4063084.2440647525</v>
      </c>
      <c r="AJ75" s="200">
        <f t="shared" si="23"/>
        <v>4256677.6520226113</v>
      </c>
      <c r="AK75" s="200">
        <f t="shared" si="23"/>
        <v>4458829.6270603724</v>
      </c>
      <c r="AL75" s="200">
        <f t="shared" si="23"/>
        <v>4167489.1093377606</v>
      </c>
      <c r="AM75" s="200">
        <f t="shared" si="23"/>
        <v>4890339.467609074</v>
      </c>
      <c r="AN75" s="200">
        <f t="shared" si="23"/>
        <v>5120504.9851113092</v>
      </c>
      <c r="AO75" s="200">
        <f t="shared" si="23"/>
        <v>5360845.8853489514</v>
      </c>
      <c r="AP75" s="200">
        <f>AP68</f>
        <v>5611812.0116127636</v>
      </c>
    </row>
    <row r="76" spans="1:45" x14ac:dyDescent="0.2">
      <c r="A76" s="161" t="s">
        <v>256</v>
      </c>
      <c r="B76" s="199">
        <f t="shared" ref="B76:AO76" si="24">-B67</f>
        <v>0</v>
      </c>
      <c r="C76" s="199">
        <f>-C67</f>
        <v>0</v>
      </c>
      <c r="D76" s="199">
        <f t="shared" si="24"/>
        <v>315967.44237288134</v>
      </c>
      <c r="E76" s="199">
        <f t="shared" si="24"/>
        <v>315967.44237288134</v>
      </c>
      <c r="F76" s="199">
        <f t="shared" si="24"/>
        <v>315967.44237288134</v>
      </c>
      <c r="G76" s="199">
        <f t="shared" si="24"/>
        <v>315967.44237288134</v>
      </c>
      <c r="H76" s="199">
        <f t="shared" si="24"/>
        <v>315967.44237288134</v>
      </c>
      <c r="I76" s="199">
        <f t="shared" si="24"/>
        <v>315967.44237288134</v>
      </c>
      <c r="J76" s="199">
        <f t="shared" si="24"/>
        <v>315967.44237288134</v>
      </c>
      <c r="K76" s="199">
        <f t="shared" si="24"/>
        <v>315967.44237288134</v>
      </c>
      <c r="L76" s="199">
        <f>-L67</f>
        <v>315967.44237288134</v>
      </c>
      <c r="M76" s="199">
        <f>-M67</f>
        <v>315967.44237288134</v>
      </c>
      <c r="N76" s="199">
        <f t="shared" si="24"/>
        <v>315967.44237288134</v>
      </c>
      <c r="O76" s="199">
        <f t="shared" si="24"/>
        <v>315967.44237288134</v>
      </c>
      <c r="P76" s="199">
        <f t="shared" si="24"/>
        <v>315967.44237288134</v>
      </c>
      <c r="Q76" s="199">
        <f t="shared" si="24"/>
        <v>315967.44237288134</v>
      </c>
      <c r="R76" s="199">
        <f t="shared" si="24"/>
        <v>315967.44237288134</v>
      </c>
      <c r="S76" s="199">
        <f t="shared" si="24"/>
        <v>315967.44237288134</v>
      </c>
      <c r="T76" s="199">
        <f t="shared" si="24"/>
        <v>315967.44237288134</v>
      </c>
      <c r="U76" s="199">
        <f t="shared" si="24"/>
        <v>315967.44237288134</v>
      </c>
      <c r="V76" s="199">
        <f t="shared" si="24"/>
        <v>315967.44237288134</v>
      </c>
      <c r="W76" s="199">
        <f t="shared" si="24"/>
        <v>315967.44237288134</v>
      </c>
      <c r="X76" s="199">
        <f t="shared" si="24"/>
        <v>315967.44237288134</v>
      </c>
      <c r="Y76" s="199">
        <f t="shared" si="24"/>
        <v>315967.44237288134</v>
      </c>
      <c r="Z76" s="199">
        <f t="shared" si="24"/>
        <v>315967.44237288134</v>
      </c>
      <c r="AA76" s="199">
        <f t="shared" si="24"/>
        <v>315967.44237288134</v>
      </c>
      <c r="AB76" s="199">
        <f t="shared" si="24"/>
        <v>315967.44237288134</v>
      </c>
      <c r="AC76" s="199">
        <f t="shared" si="24"/>
        <v>315967.44237288134</v>
      </c>
      <c r="AD76" s="199">
        <f t="shared" si="24"/>
        <v>315967.44237288134</v>
      </c>
      <c r="AE76" s="199">
        <f t="shared" si="24"/>
        <v>315967.44237288134</v>
      </c>
      <c r="AF76" s="199">
        <f t="shared" si="24"/>
        <v>315967.44237288134</v>
      </c>
      <c r="AG76" s="199">
        <f t="shared" si="24"/>
        <v>315967.44237288134</v>
      </c>
      <c r="AH76" s="199">
        <f t="shared" si="24"/>
        <v>315967.44237288134</v>
      </c>
      <c r="AI76" s="199">
        <f t="shared" si="24"/>
        <v>315967.44237288134</v>
      </c>
      <c r="AJ76" s="199">
        <f t="shared" si="24"/>
        <v>315967.44237288134</v>
      </c>
      <c r="AK76" s="199">
        <f t="shared" si="24"/>
        <v>315967.44237288134</v>
      </c>
      <c r="AL76" s="199">
        <f t="shared" si="24"/>
        <v>315967.44237288134</v>
      </c>
      <c r="AM76" s="199">
        <f t="shared" si="24"/>
        <v>315967.44237288134</v>
      </c>
      <c r="AN76" s="199">
        <f t="shared" si="24"/>
        <v>315967.44237288134</v>
      </c>
      <c r="AO76" s="199">
        <f t="shared" si="24"/>
        <v>315967.44237288134</v>
      </c>
      <c r="AP76" s="199">
        <f>-AP67</f>
        <v>315967.44237288134</v>
      </c>
    </row>
    <row r="77" spans="1:45" x14ac:dyDescent="0.2">
      <c r="A77" s="161"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5" x14ac:dyDescent="0.2">
      <c r="A78" s="161" t="s">
        <v>254</v>
      </c>
      <c r="B78" s="199">
        <f>IF(SUM($B$71:B71)+SUM($A$78:A78)&gt;0,0,SUM($B$71:B71)-SUM($A$78:A78))</f>
        <v>0</v>
      </c>
      <c r="C78" s="199">
        <f>IF(SUM($B$71:C71)+SUM($A$78:B78)&gt;0,0,SUM($B$71:C71)-SUM($A$78:B78))</f>
        <v>0</v>
      </c>
      <c r="D78" s="199">
        <f>IF(SUM($B$71:D71)+SUM($A$78:C78)&gt;0,0,SUM($B$71:D71)-SUM($A$78:C78))</f>
        <v>-26398.474437673391</v>
      </c>
      <c r="E78" s="199">
        <f>IF(SUM($B$71:E71)+SUM($A$78:D78)&gt;0,0,SUM($B$71:E71)-SUM($A$78:D78))</f>
        <v>-88246.345410814145</v>
      </c>
      <c r="F78" s="199">
        <f>IF(SUM($B$71:F71)+SUM($A$78:E78)&gt;0,0,SUM($B$71:F71)-SUM($A$78:E78))</f>
        <v>-240182.23671178657</v>
      </c>
      <c r="G78" s="199">
        <f>IF(SUM($B$71:G71)+SUM($A$78:F78)&gt;0,0,SUM($B$71:G71)-SUM($A$78:F78))</f>
        <v>-197639.31147436344</v>
      </c>
      <c r="H78" s="199">
        <f>IF(SUM($B$71:H71)+SUM($A$78:G78)&gt;0,0,SUM($B$71:H71)-SUM($A$78:G78))</f>
        <v>-181724.25542671815</v>
      </c>
      <c r="I78" s="199">
        <f>IF(SUM($B$71:I71)+SUM($A$78:H78)&gt;0,0,SUM($B$71:I71)-SUM($A$78:H78))</f>
        <v>-221211.39595861512</v>
      </c>
      <c r="J78" s="199">
        <f>IF(SUM($B$71:J71)+SUM($A$78:I78)&gt;0,0,SUM($B$71:J71)-SUM($A$78:I78))</f>
        <v>-233784.64577610546</v>
      </c>
      <c r="K78" s="199">
        <f>IF(SUM($B$71:K71)+SUM($A$78:J78)&gt;0,0,SUM($B$71:K71)-SUM($A$78:J78))</f>
        <v>-246913.74614197179</v>
      </c>
      <c r="L78" s="199">
        <f>IF(SUM($B$71:L71)+SUM($A$78:K78)&gt;0,0,SUM($B$71:L71)-SUM($A$78:K78))</f>
        <v>-260623.27064193087</v>
      </c>
      <c r="M78" s="199">
        <f>IF(SUM($B$71:M71)+SUM($A$78:L78)&gt;0,0,SUM($B$71:M71)-SUM($A$78:L78))</f>
        <v>-274938.87923485693</v>
      </c>
      <c r="N78" s="199">
        <f>IF(SUM($B$71:N71)+SUM($A$78:M78)&gt;0,0,SUM($B$71:N71)-SUM($A$78:M78))</f>
        <v>-254307.28848142363</v>
      </c>
      <c r="O78" s="199">
        <f>IF(SUM($B$71:O71)+SUM($A$78:N78)&gt;0,0,SUM($B$71:O71)-SUM($A$78:N78))</f>
        <v>-305496.71068882709</v>
      </c>
      <c r="P78" s="199">
        <f>IF(SUM($B$71:P71)+SUM($A$78:O78)&gt;0,0,SUM($B$71:P71)-SUM($A$78:O78))</f>
        <v>-321796.12829053402</v>
      </c>
      <c r="Q78" s="199">
        <f>IF(SUM($B$71:Q71)+SUM($A$78:P78)&gt;0,0,SUM($B$71:Q71)-SUM($A$78:P78))</f>
        <v>-338816.12651726836</v>
      </c>
      <c r="R78" s="199">
        <f>IF(SUM($B$71:R71)+SUM($A$78:Q78)&gt;0,0,SUM($B$71:R71)-SUM($A$78:Q78))</f>
        <v>-356588.56150339404</v>
      </c>
      <c r="S78" s="199">
        <f>IF(SUM($B$71:S71)+SUM($A$78:R78)&gt;0,0,SUM($B$71:S71)-SUM($A$78:R78))</f>
        <v>-375146.69771047868</v>
      </c>
      <c r="T78" s="199">
        <f>IF(SUM($B$71:T71)+SUM($A$78:S78)&gt;0,0,SUM($B$71:T71)-SUM($A$78:S78))</f>
        <v>-348400.79523028433</v>
      </c>
      <c r="U78" s="199">
        <f>IF(SUM($B$71:U71)+SUM($A$78:T78)&gt;0,0,SUM($B$71:U71)-SUM($A$78:T78))</f>
        <v>-414760.54958654381</v>
      </c>
      <c r="V78" s="199">
        <f>IF(SUM($B$71:V71)+SUM($A$78:U78)&gt;0,0,SUM($B$71:V71)-SUM($A$78:U78))</f>
        <v>-435890.41004515532</v>
      </c>
      <c r="W78" s="199">
        <f>IF(SUM($B$71:W71)+SUM($A$78:V78)&gt;0,0,SUM($B$71:W71)-SUM($A$78:V78))</f>
        <v>-457954.40007993113</v>
      </c>
      <c r="X78" s="199">
        <f>IF(SUM($B$71:X71)+SUM($A$78:W78)&gt;0,0,SUM($B$71:X71)-SUM($A$78:W78))</f>
        <v>-480993.81660652254</v>
      </c>
      <c r="Y78" s="199">
        <f>IF(SUM($B$71:Y71)+SUM($A$78:X78)&gt;0,0,SUM($B$71:Y71)-SUM($A$78:X78))</f>
        <v>-505051.78223509341</v>
      </c>
      <c r="Z78" s="199">
        <f>IF(SUM($B$71:Z71)+SUM($A$78:Y78)&gt;0,0,SUM($B$71:Z71)-SUM($A$78:Y78))</f>
        <v>-470379.55031516589</v>
      </c>
      <c r="AA78" s="199">
        <f>IF(SUM($B$71:AA71)+SUM($A$78:Z78)&gt;0,0,SUM($B$71:AA71)-SUM($A$78:Z78))</f>
        <v>-556405.4675521506</v>
      </c>
      <c r="AB78" s="199">
        <f>IF(SUM($B$71:AB71)+SUM($A$78:AA78)&gt;0,0,SUM($B$71:AB71)-SUM($A$78:AA78))</f>
        <v>-583797.30534110498</v>
      </c>
      <c r="AC78" s="199">
        <f>IF(SUM($B$71:AC71)+SUM($A$78:AB78)&gt;0,0,SUM($B$71:AC71)-SUM($A$78:AB78))</f>
        <v>-612400.10833611432</v>
      </c>
      <c r="AD78" s="199">
        <f>IF(SUM($B$71:AD71)+SUM($A$78:AC78)&gt;0,0,SUM($B$71:AD71)-SUM($A$78:AC78))</f>
        <v>-642267.41207362339</v>
      </c>
      <c r="AE78" s="199">
        <f>IF(SUM($B$71:AE71)+SUM($A$78:AD78)&gt;0,0,SUM($B$71:AE71)-SUM($A$78:AD78))</f>
        <v>-673455.11884153634</v>
      </c>
      <c r="AF78" s="199">
        <f>IF(SUM($B$71:AF71)+SUM($A$78:AE78)&gt;0,0,SUM($B$71:AF71)-SUM($A$78:AE78))</f>
        <v>-628507.53604078852</v>
      </c>
      <c r="AG78" s="199">
        <f>IF(SUM($B$71:AG71)+SUM($A$78:AF78)&gt;0,0,SUM($B$71:AG71)-SUM($A$78:AF78))</f>
        <v>-740027.81679310091</v>
      </c>
      <c r="AH78" s="199">
        <f>IF(SUM($B$71:AH71)+SUM($A$78:AG78)&gt;0,0,SUM($B$71:AH71)-SUM($A$78:AG78))</f>
        <v>-775537.41132762656</v>
      </c>
      <c r="AI78" s="199">
        <f>IF(SUM($B$71:AI71)+SUM($A$78:AH78)&gt;0,0,SUM($B$71:AI71)-SUM($A$78:AH78))</f>
        <v>-812616.84881295078</v>
      </c>
      <c r="AJ78" s="199">
        <f>IF(SUM($B$71:AJ71)+SUM($A$78:AI78)&gt;0,0,SUM($B$71:AJ71)-SUM($A$78:AI78))</f>
        <v>-851335.53040452302</v>
      </c>
      <c r="AK78" s="199">
        <f>IF(SUM($B$71:AK71)+SUM($A$78:AJ78)&gt;0,0,SUM($B$71:AK71)-SUM($A$78:AJ78))</f>
        <v>-891765.92541207373</v>
      </c>
      <c r="AL78" s="199">
        <f>IF(SUM($B$71:AL71)+SUM($A$78:AK78)&gt;0,0,SUM($B$71:AL71)-SUM($A$78:AK78))</f>
        <v>-833497.82186755165</v>
      </c>
      <c r="AM78" s="199">
        <f>IF(SUM($B$71:AM71)+SUM($A$78:AL78)&gt;0,0,SUM($B$71:AM71)-SUM($A$78:AL78))</f>
        <v>-978067.89352181554</v>
      </c>
      <c r="AN78" s="199">
        <f>IF(SUM($B$71:AN71)+SUM($A$78:AM78)&gt;0,0,SUM($B$71:AN71)-SUM($A$78:AM78))</f>
        <v>-1024100.9970222618</v>
      </c>
      <c r="AO78" s="199">
        <f>IF(SUM($B$71:AO71)+SUM($A$78:AN78)&gt;0,0,SUM($B$71:AO71)-SUM($A$78:AN78))</f>
        <v>-1072169.1770697907</v>
      </c>
      <c r="AP78" s="199">
        <f>IF(SUM($B$71:AP71)+SUM($A$78:AO78)&gt;0,0,SUM($B$71:AP71)-SUM($A$78:AO78))</f>
        <v>-1122362.4023225531</v>
      </c>
    </row>
    <row r="79" spans="1:45" x14ac:dyDescent="0.2">
      <c r="A79" s="161"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5" x14ac:dyDescent="0.2">
      <c r="A80" s="161"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1" t="s">
        <v>467</v>
      </c>
      <c r="B81" s="199">
        <f>-'6.2. Паспорт фин осв ввод'!J30*1000000</f>
        <v>-232953.26</v>
      </c>
      <c r="C81" s="199">
        <f>-'6.2. Паспорт фин осв ввод'!N30*1000000</f>
        <v>-8542723.4500000011</v>
      </c>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-8775676.7100000009</v>
      </c>
      <c r="AR81" s="165"/>
    </row>
    <row r="82" spans="1:45" x14ac:dyDescent="0.2">
      <c r="A82" s="161"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2" t="s">
        <v>250</v>
      </c>
      <c r="B83" s="200">
        <f>SUM(B75:B82)</f>
        <v>-232953.26</v>
      </c>
      <c r="C83" s="200">
        <f t="shared" ref="C83:V83" si="28">SUM(C75:C82)</f>
        <v>-8542723.4500000011</v>
      </c>
      <c r="D83" s="200">
        <f t="shared" si="28"/>
        <v>421561.34012357489</v>
      </c>
      <c r="E83" s="200">
        <f t="shared" si="28"/>
        <v>668952.82401613786</v>
      </c>
      <c r="F83" s="200">
        <f t="shared" si="28"/>
        <v>1276696.3892200275</v>
      </c>
      <c r="G83" s="200">
        <f t="shared" si="28"/>
        <v>1106524.6882703351</v>
      </c>
      <c r="H83" s="200">
        <f t="shared" si="28"/>
        <v>1042864.4640797542</v>
      </c>
      <c r="I83" s="200">
        <f t="shared" si="28"/>
        <v>1200813.0262073418</v>
      </c>
      <c r="J83" s="200">
        <f t="shared" si="28"/>
        <v>1251106.0254773027</v>
      </c>
      <c r="K83" s="200">
        <f t="shared" si="28"/>
        <v>1303622.4269407683</v>
      </c>
      <c r="L83" s="200">
        <f t="shared" si="28"/>
        <v>1358460.5249406053</v>
      </c>
      <c r="M83" s="200">
        <f t="shared" si="28"/>
        <v>1415722.9593123093</v>
      </c>
      <c r="N83" s="200">
        <f t="shared" si="28"/>
        <v>1333196.5962985768</v>
      </c>
      <c r="O83" s="200">
        <f t="shared" si="28"/>
        <v>1537954.2851281902</v>
      </c>
      <c r="P83" s="200">
        <f t="shared" si="28"/>
        <v>1603151.9555350163</v>
      </c>
      <c r="Q83" s="200">
        <f t="shared" si="28"/>
        <v>1671231.9484419548</v>
      </c>
      <c r="R83" s="200">
        <f t="shared" si="28"/>
        <v>1742321.6883864584</v>
      </c>
      <c r="S83" s="200">
        <f t="shared" si="28"/>
        <v>1816554.2332147947</v>
      </c>
      <c r="T83" s="200">
        <f t="shared" si="28"/>
        <v>1709570.6232940168</v>
      </c>
      <c r="U83" s="200">
        <f t="shared" si="28"/>
        <v>1975009.6407190575</v>
      </c>
      <c r="V83" s="200">
        <f t="shared" si="28"/>
        <v>2059529.0825535008</v>
      </c>
      <c r="W83" s="200">
        <f>SUM(W75:W82)</f>
        <v>2147785.0426926049</v>
      </c>
      <c r="X83" s="200">
        <f>SUM(X75:X82)</f>
        <v>2239942.7087989706</v>
      </c>
      <c r="Y83" s="200">
        <f>SUM(Y75:Y82)</f>
        <v>2336174.571313255</v>
      </c>
      <c r="Z83" s="200">
        <f>SUM(Z75:Z82)</f>
        <v>2197485.6436335444</v>
      </c>
      <c r="AA83" s="200">
        <f t="shared" ref="AA83:AP83" si="29">SUM(AA75:AA82)</f>
        <v>2541589.3125814847</v>
      </c>
      <c r="AB83" s="200">
        <f t="shared" si="29"/>
        <v>2651156.6637373003</v>
      </c>
      <c r="AC83" s="200">
        <f t="shared" si="29"/>
        <v>2765567.8757173363</v>
      </c>
      <c r="AD83" s="200">
        <f t="shared" si="29"/>
        <v>2885037.0906673782</v>
      </c>
      <c r="AE83" s="200">
        <f t="shared" si="29"/>
        <v>3009787.917739023</v>
      </c>
      <c r="AF83" s="200">
        <f t="shared" si="29"/>
        <v>2829997.5865360345</v>
      </c>
      <c r="AG83" s="200">
        <f t="shared" si="29"/>
        <v>3276078.7095452845</v>
      </c>
      <c r="AH83" s="200">
        <f t="shared" si="29"/>
        <v>3418117.0876833848</v>
      </c>
      <c r="AI83" s="200">
        <f t="shared" si="29"/>
        <v>3566434.837624683</v>
      </c>
      <c r="AJ83" s="200">
        <f t="shared" si="29"/>
        <v>3721309.5639909692</v>
      </c>
      <c r="AK83" s="200">
        <f t="shared" si="29"/>
        <v>3883031.1440211795</v>
      </c>
      <c r="AL83" s="200">
        <f t="shared" si="29"/>
        <v>3649958.7298430903</v>
      </c>
      <c r="AM83" s="200">
        <f t="shared" si="29"/>
        <v>4228239.0164601393</v>
      </c>
      <c r="AN83" s="200">
        <f t="shared" si="29"/>
        <v>4412371.4304619282</v>
      </c>
      <c r="AO83" s="200">
        <f t="shared" si="29"/>
        <v>4604644.1506520417</v>
      </c>
      <c r="AP83" s="200">
        <f t="shared" si="29"/>
        <v>4805417.0516630914</v>
      </c>
    </row>
    <row r="84" spans="1:45" ht="14.25" x14ac:dyDescent="0.2">
      <c r="A84" s="162" t="s">
        <v>249</v>
      </c>
      <c r="B84" s="200">
        <f>SUM($B$83:B83)</f>
        <v>-232953.26</v>
      </c>
      <c r="C84" s="200">
        <f>SUM($B$83:C83)</f>
        <v>-8775676.7100000009</v>
      </c>
      <c r="D84" s="200">
        <f>SUM($B$83:D83)</f>
        <v>-8354115.3698764257</v>
      </c>
      <c r="E84" s="200">
        <f>SUM($B$83:E83)</f>
        <v>-7685162.5458602877</v>
      </c>
      <c r="F84" s="200">
        <f>SUM($B$83:F83)</f>
        <v>-6408466.1566402605</v>
      </c>
      <c r="G84" s="200">
        <f>SUM($B$83:G83)</f>
        <v>-5301941.4683699254</v>
      </c>
      <c r="H84" s="200">
        <f>SUM($B$83:H83)</f>
        <v>-4259077.004290171</v>
      </c>
      <c r="I84" s="200">
        <f>SUM($B$83:I83)</f>
        <v>-3058263.9780828292</v>
      </c>
      <c r="J84" s="200">
        <f>SUM($B$83:J83)</f>
        <v>-1807157.9526055264</v>
      </c>
      <c r="K84" s="200">
        <f>SUM($B$83:K83)</f>
        <v>-503535.52566475817</v>
      </c>
      <c r="L84" s="200">
        <f>SUM($B$83:L83)</f>
        <v>854924.99927584711</v>
      </c>
      <c r="M84" s="200">
        <f>SUM($B$83:M83)</f>
        <v>2270647.9585881564</v>
      </c>
      <c r="N84" s="200">
        <f>SUM($B$83:N83)</f>
        <v>3603844.5548867332</v>
      </c>
      <c r="O84" s="200">
        <f>SUM($B$83:O83)</f>
        <v>5141798.8400149234</v>
      </c>
      <c r="P84" s="200">
        <f>SUM($B$83:P83)</f>
        <v>6744950.7955499394</v>
      </c>
      <c r="Q84" s="200">
        <f>SUM($B$83:Q83)</f>
        <v>8416182.7439918946</v>
      </c>
      <c r="R84" s="200">
        <f>SUM($B$83:R83)</f>
        <v>10158504.432378354</v>
      </c>
      <c r="S84" s="200">
        <f>SUM($B$83:S83)</f>
        <v>11975058.665593147</v>
      </c>
      <c r="T84" s="200">
        <f>SUM($B$83:T83)</f>
        <v>13684629.288887164</v>
      </c>
      <c r="U84" s="200">
        <f>SUM($B$83:U83)</f>
        <v>15659638.929606222</v>
      </c>
      <c r="V84" s="200">
        <f>SUM($B$83:V83)</f>
        <v>17719168.012159724</v>
      </c>
      <c r="W84" s="200">
        <f>SUM($B$83:W83)</f>
        <v>19866953.054852329</v>
      </c>
      <c r="X84" s="200">
        <f>SUM($B$83:X83)</f>
        <v>22106895.7636513</v>
      </c>
      <c r="Y84" s="200">
        <f>SUM($B$83:Y83)</f>
        <v>24443070.334964555</v>
      </c>
      <c r="Z84" s="200">
        <f>SUM($B$83:Z83)</f>
        <v>26640555.978598099</v>
      </c>
      <c r="AA84" s="200">
        <f>SUM($B$83:AA83)</f>
        <v>29182145.291179582</v>
      </c>
      <c r="AB84" s="200">
        <f>SUM($B$83:AB83)</f>
        <v>31833301.954916883</v>
      </c>
      <c r="AC84" s="200">
        <f>SUM($B$83:AC83)</f>
        <v>34598869.830634221</v>
      </c>
      <c r="AD84" s="200">
        <f>SUM($B$83:AD83)</f>
        <v>37483906.921301603</v>
      </c>
      <c r="AE84" s="200">
        <f>SUM($B$83:AE83)</f>
        <v>40493694.83904063</v>
      </c>
      <c r="AF84" s="200">
        <f>SUM($B$83:AF83)</f>
        <v>43323692.425576665</v>
      </c>
      <c r="AG84" s="200">
        <f>SUM($B$83:AG83)</f>
        <v>46599771.135121949</v>
      </c>
      <c r="AH84" s="200">
        <f>SUM($B$83:AH83)</f>
        <v>50017888.222805336</v>
      </c>
      <c r="AI84" s="200">
        <f>SUM($B$83:AI83)</f>
        <v>53584323.06043002</v>
      </c>
      <c r="AJ84" s="200">
        <f>SUM($B$83:AJ83)</f>
        <v>57305632.624420986</v>
      </c>
      <c r="AK84" s="200">
        <f>SUM($B$83:AK83)</f>
        <v>61188663.768442169</v>
      </c>
      <c r="AL84" s="200">
        <f>SUM($B$83:AL83)</f>
        <v>64838622.498285256</v>
      </c>
      <c r="AM84" s="200">
        <f>SUM($B$83:AM83)</f>
        <v>69066861.514745399</v>
      </c>
      <c r="AN84" s="200">
        <f>SUM($B$83:AN83)</f>
        <v>73479232.945207328</v>
      </c>
      <c r="AO84" s="200">
        <f>SUM($B$83:AO83)</f>
        <v>78083877.095859364</v>
      </c>
      <c r="AP84" s="200">
        <f>SUM($B$83:AP83)</f>
        <v>82889294.147522449</v>
      </c>
    </row>
    <row r="85" spans="1:45" x14ac:dyDescent="0.2">
      <c r="A85" s="161" t="s">
        <v>468</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0" t="s">
        <v>248</v>
      </c>
      <c r="B86" s="200">
        <f>B83*B85</f>
        <v>-218458.75922600951</v>
      </c>
      <c r="C86" s="200">
        <f>C83*C85</f>
        <v>-7045281.6245005438</v>
      </c>
      <c r="D86" s="200">
        <f t="shared" ref="D86:AO86" si="31">D83*D85</f>
        <v>305748.35394882387</v>
      </c>
      <c r="E86" s="200">
        <f t="shared" si="31"/>
        <v>426677.93357195653</v>
      </c>
      <c r="F86" s="200">
        <f t="shared" si="31"/>
        <v>716132.9593881832</v>
      </c>
      <c r="G86" s="200">
        <f t="shared" si="31"/>
        <v>545843.92444340349</v>
      </c>
      <c r="H86" s="200">
        <f t="shared" si="31"/>
        <v>452414.56907513976</v>
      </c>
      <c r="I86" s="200">
        <f t="shared" si="31"/>
        <v>458126.53160435212</v>
      </c>
      <c r="J86" s="200">
        <f t="shared" si="31"/>
        <v>419764.30930528935</v>
      </c>
      <c r="K86" s="200">
        <f t="shared" si="31"/>
        <v>384648.95571544464</v>
      </c>
      <c r="L86" s="200">
        <f t="shared" si="31"/>
        <v>352501.60425024881</v>
      </c>
      <c r="M86" s="200">
        <f t="shared" si="31"/>
        <v>323067.81215843151</v>
      </c>
      <c r="N86" s="200">
        <f t="shared" si="31"/>
        <v>267553.69436524081</v>
      </c>
      <c r="O86" s="200">
        <f t="shared" si="31"/>
        <v>271432.29754023103</v>
      </c>
      <c r="P86" s="200">
        <f t="shared" si="31"/>
        <v>248825.06483152061</v>
      </c>
      <c r="Q86" s="200">
        <f t="shared" si="31"/>
        <v>228116.92388770709</v>
      </c>
      <c r="R86" s="200">
        <f t="shared" si="31"/>
        <v>209146.43222377019</v>
      </c>
      <c r="S86" s="200">
        <f t="shared" si="31"/>
        <v>191766.09578770344</v>
      </c>
      <c r="T86" s="200">
        <f t="shared" si="31"/>
        <v>158712.76038134968</v>
      </c>
      <c r="U86" s="200">
        <f t="shared" si="31"/>
        <v>161248.37958716013</v>
      </c>
      <c r="V86" s="200">
        <f t="shared" si="31"/>
        <v>147875.22164330436</v>
      </c>
      <c r="W86" s="200">
        <f t="shared" si="31"/>
        <v>135618.71767657192</v>
      </c>
      <c r="X86" s="200">
        <f t="shared" si="31"/>
        <v>124384.73092370361</v>
      </c>
      <c r="Y86" s="200">
        <f t="shared" si="31"/>
        <v>114087.16634504755</v>
      </c>
      <c r="Z86" s="200">
        <f t="shared" si="31"/>
        <v>94375.417943872613</v>
      </c>
      <c r="AA86" s="200">
        <f t="shared" si="31"/>
        <v>95992.998442014854</v>
      </c>
      <c r="AB86" s="200">
        <f t="shared" si="31"/>
        <v>88058.425203640552</v>
      </c>
      <c r="AC86" s="200">
        <f t="shared" si="31"/>
        <v>80783.224592334125</v>
      </c>
      <c r="AD86" s="200">
        <f t="shared" si="31"/>
        <v>74112.182741854427</v>
      </c>
      <c r="AE86" s="200">
        <f t="shared" si="31"/>
        <v>67994.758913600905</v>
      </c>
      <c r="AF86" s="200">
        <f t="shared" si="31"/>
        <v>56224.674441153293</v>
      </c>
      <c r="AG86" s="200">
        <f t="shared" si="31"/>
        <v>57239.59498148461</v>
      </c>
      <c r="AH86" s="200">
        <f t="shared" si="31"/>
        <v>52520.69937538034</v>
      </c>
      <c r="AI86" s="200">
        <f t="shared" si="31"/>
        <v>48192.471487246141</v>
      </c>
      <c r="AJ86" s="200">
        <f t="shared" si="31"/>
        <v>44222.373189454178</v>
      </c>
      <c r="AK86" s="200">
        <f t="shared" si="31"/>
        <v>40580.599670784744</v>
      </c>
      <c r="AL86" s="200">
        <f t="shared" si="31"/>
        <v>33545.701716199364</v>
      </c>
      <c r="AM86" s="200">
        <f t="shared" si="31"/>
        <v>34175.100227367016</v>
      </c>
      <c r="AN86" s="200">
        <f t="shared" si="31"/>
        <v>31363.438633559534</v>
      </c>
      <c r="AO86" s="200">
        <f t="shared" si="31"/>
        <v>28783.859212568703</v>
      </c>
      <c r="AP86" s="200">
        <f>AP83*AP85</f>
        <v>26417.114225166035</v>
      </c>
    </row>
    <row r="87" spans="1:45" ht="14.25" x14ac:dyDescent="0.2">
      <c r="A87" s="160" t="s">
        <v>247</v>
      </c>
      <c r="B87" s="200">
        <f>SUM($B$86:B86)</f>
        <v>-218458.75922600951</v>
      </c>
      <c r="C87" s="200">
        <f>SUM($B$86:C86)</f>
        <v>-7263740.3837265531</v>
      </c>
      <c r="D87" s="200">
        <f>SUM($B$86:D86)</f>
        <v>-6957992.029777729</v>
      </c>
      <c r="E87" s="200">
        <f>SUM($B$86:E86)</f>
        <v>-6531314.0962057728</v>
      </c>
      <c r="F87" s="200">
        <f>SUM($B$86:F86)</f>
        <v>-5815181.1368175894</v>
      </c>
      <c r="G87" s="200">
        <f>SUM($B$86:G86)</f>
        <v>-5269337.2123741861</v>
      </c>
      <c r="H87" s="200">
        <f>SUM($B$86:H86)</f>
        <v>-4816922.643299046</v>
      </c>
      <c r="I87" s="200">
        <f>SUM($B$86:I86)</f>
        <v>-4358796.1116946936</v>
      </c>
      <c r="J87" s="200">
        <f>SUM($B$86:J86)</f>
        <v>-3939031.8023894043</v>
      </c>
      <c r="K87" s="200">
        <f>SUM($B$86:K86)</f>
        <v>-3554382.8466739599</v>
      </c>
      <c r="L87" s="200">
        <f>SUM($B$86:L86)</f>
        <v>-3201881.2424237109</v>
      </c>
      <c r="M87" s="200">
        <f>SUM($B$86:M86)</f>
        <v>-2878813.4302652795</v>
      </c>
      <c r="N87" s="200">
        <f>SUM($B$86:N86)</f>
        <v>-2611259.7359000389</v>
      </c>
      <c r="O87" s="200">
        <f>SUM($B$86:O86)</f>
        <v>-2339827.4383598077</v>
      </c>
      <c r="P87" s="200">
        <f>SUM($B$86:P86)</f>
        <v>-2091002.373528287</v>
      </c>
      <c r="Q87" s="200">
        <f>SUM($B$86:Q86)</f>
        <v>-1862885.44964058</v>
      </c>
      <c r="R87" s="200">
        <f>SUM($B$86:R86)</f>
        <v>-1653739.0174168097</v>
      </c>
      <c r="S87" s="200">
        <f>SUM($B$86:S86)</f>
        <v>-1461972.9216291062</v>
      </c>
      <c r="T87" s="200">
        <f>SUM($B$86:T86)</f>
        <v>-1303260.1612477566</v>
      </c>
      <c r="U87" s="200">
        <f>SUM($B$86:U86)</f>
        <v>-1142011.7816605964</v>
      </c>
      <c r="V87" s="200">
        <f>SUM($B$86:V86)</f>
        <v>-994136.56001729204</v>
      </c>
      <c r="W87" s="200">
        <f>SUM($B$86:W86)</f>
        <v>-858517.84234072012</v>
      </c>
      <c r="X87" s="200">
        <f>SUM($B$86:X86)</f>
        <v>-734133.11141701648</v>
      </c>
      <c r="Y87" s="200">
        <f>SUM($B$86:Y86)</f>
        <v>-620045.94507196895</v>
      </c>
      <c r="Z87" s="200">
        <f>SUM($B$86:Z86)</f>
        <v>-525670.52712809632</v>
      </c>
      <c r="AA87" s="200">
        <f>SUM($B$86:AA86)</f>
        <v>-429677.52868608147</v>
      </c>
      <c r="AB87" s="200">
        <f>SUM($B$86:AB86)</f>
        <v>-341619.10348244093</v>
      </c>
      <c r="AC87" s="200">
        <f>SUM($B$86:AC86)</f>
        <v>-260835.8788901068</v>
      </c>
      <c r="AD87" s="200">
        <f>SUM($B$86:AD86)</f>
        <v>-186723.69614825238</v>
      </c>
      <c r="AE87" s="200">
        <f>SUM($B$86:AE86)</f>
        <v>-118728.93723465147</v>
      </c>
      <c r="AF87" s="200">
        <f>SUM($B$86:AF86)</f>
        <v>-62504.262793498179</v>
      </c>
      <c r="AG87" s="200">
        <f>SUM($B$86:AG86)</f>
        <v>-5264.6678120135693</v>
      </c>
      <c r="AH87" s="200">
        <f>SUM($B$86:AH86)</f>
        <v>47256.031563366771</v>
      </c>
      <c r="AI87" s="200">
        <f>SUM($B$86:AI86)</f>
        <v>95448.503050612911</v>
      </c>
      <c r="AJ87" s="200">
        <f>SUM($B$86:AJ86)</f>
        <v>139670.8762400671</v>
      </c>
      <c r="AK87" s="200">
        <f>SUM($B$86:AK86)</f>
        <v>180251.47591085185</v>
      </c>
      <c r="AL87" s="200">
        <f>SUM($B$86:AL86)</f>
        <v>213797.17762705122</v>
      </c>
      <c r="AM87" s="200">
        <f>SUM($B$86:AM86)</f>
        <v>247972.27785441824</v>
      </c>
      <c r="AN87" s="200">
        <f>SUM($B$86:AN86)</f>
        <v>279335.71648797777</v>
      </c>
      <c r="AO87" s="200">
        <f>SUM($B$86:AO86)</f>
        <v>308119.5757005465</v>
      </c>
      <c r="AP87" s="200">
        <f>SUM($B$86:AP86)</f>
        <v>334536.68992571253</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1.6829575777762118E-2</v>
      </c>
      <c r="M88" s="202">
        <f>IF((ISERR(IRR($B$83:M83))),0,IF(IRR($B$83:M83)&lt;0,0,IRR($B$83:M83)))</f>
        <v>3.8793324915085803E-2</v>
      </c>
      <c r="N88" s="202">
        <f>IF((ISERR(IRR($B$83:N83))),0,IF(IRR($B$83:N83)&lt;0,0,IRR($B$83:N83)))</f>
        <v>5.4586399152931619E-2</v>
      </c>
      <c r="O88" s="202">
        <f>IF((ISERR(IRR($B$83:O83))),0,IF(IRR($B$83:O83)&lt;0,0,IRR($B$83:O83)))</f>
        <v>6.8683465715984937E-2</v>
      </c>
      <c r="P88" s="202">
        <f>IF((ISERR(IRR($B$83:P83))),0,IF(IRR($B$83:P83)&lt;0,0,IRR($B$83:P83)))</f>
        <v>8.0079245883352135E-2</v>
      </c>
      <c r="Q88" s="202">
        <f>IF((ISERR(IRR($B$83:Q83))),0,IF(IRR($B$83:Q83)&lt;0,0,IRR($B$83:Q83)))</f>
        <v>8.940332391197181E-2</v>
      </c>
      <c r="R88" s="202">
        <f>IF((ISERR(IRR($B$83:R83))),0,IF(IRR($B$83:R83)&lt;0,0,IRR($B$83:R83)))</f>
        <v>9.7111734629456103E-2</v>
      </c>
      <c r="S88" s="202">
        <f>IF((ISERR(IRR($B$83:S83))),0,IF(IRR($B$83:S83)&lt;0,0,IRR($B$83:S83)))</f>
        <v>0.10354201474473701</v>
      </c>
      <c r="T88" s="202">
        <f>IF((ISERR(IRR($B$83:T83))),0,IF(IRR($B$83:T83)&lt;0,0,IRR($B$83:T83)))</f>
        <v>0.10844734666431677</v>
      </c>
      <c r="U88" s="202">
        <f>IF((ISERR(IRR($B$83:U83))),0,IF(IRR($B$83:U83)&lt;0,0,IRR($B$83:U83)))</f>
        <v>0.11307086147655987</v>
      </c>
      <c r="V88" s="202">
        <f>IF((ISERR(IRR($B$83:V83))),0,IF(IRR($B$83:V83)&lt;0,0,IRR($B$83:V83)))</f>
        <v>0.11700724488706937</v>
      </c>
      <c r="W88" s="202">
        <f>IF((ISERR(IRR($B$83:W83))),0,IF(IRR($B$83:W83)&lt;0,0,IRR($B$83:W83)))</f>
        <v>0.12037779440641461</v>
      </c>
      <c r="X88" s="202">
        <f>IF((ISERR(IRR($B$83:X83))),0,IF(IRR($B$83:X83)&lt;0,0,IRR($B$83:X83)))</f>
        <v>0.12327862193069228</v>
      </c>
      <c r="Y88" s="202">
        <f>IF((ISERR(IRR($B$83:Y83))),0,IF(IRR($B$83:Y83)&lt;0,0,IRR($B$83:Y83)))</f>
        <v>0.12578668394600068</v>
      </c>
      <c r="Z88" s="202">
        <f>IF((ISERR(IRR($B$83:Z83))),0,IF(IRR($B$83:Z83)&lt;0,0,IRR($B$83:Z83)))</f>
        <v>0.12775631184663716</v>
      </c>
      <c r="AA88" s="202">
        <f>IF((ISERR(IRR($B$83:AA83))),0,IF(IRR($B$83:AA83)&lt;0,0,IRR($B$83:AA83)))</f>
        <v>0.12966510299980749</v>
      </c>
      <c r="AB88" s="202">
        <f>IF((ISERR(IRR($B$83:AB83))),0,IF(IRR($B$83:AB83)&lt;0,0,IRR($B$83:AB83)))</f>
        <v>0.13133393649960179</v>
      </c>
      <c r="AC88" s="202">
        <f>IF((ISERR(IRR($B$83:AC83))),0,IF(IRR($B$83:AC83)&lt;0,0,IRR($B$83:AC83)))</f>
        <v>0.13279760155847775</v>
      </c>
      <c r="AD88" s="202">
        <f>IF((ISERR(IRR($B$83:AD83))),0,IF(IRR($B$83:AD83)&lt;0,0,IRR($B$83:AD83)))</f>
        <v>0.13408503742812639</v>
      </c>
      <c r="AE88" s="202">
        <f>IF((ISERR(IRR($B$83:AE83))),0,IF(IRR($B$83:AE83)&lt;0,0,IRR($B$83:AE83)))</f>
        <v>0.13522046372923802</v>
      </c>
      <c r="AF88" s="202">
        <f>IF((ISERR(IRR($B$83:AF83))),0,IF(IRR($B$83:AF83)&lt;0,0,IRR($B$83:AF83)))</f>
        <v>0.13612678766519104</v>
      </c>
      <c r="AG88" s="202">
        <f>IF((ISERR(IRR($B$83:AG83))),0,IF(IRR($B$83:AG83)&lt;0,0,IRR($B$83:AG83)))</f>
        <v>0.13701941731718548</v>
      </c>
      <c r="AH88" s="202">
        <f>IF((ISERR(IRR($B$83:AH83))),0,IF(IRR($B$83:AH83)&lt;0,0,IRR($B$83:AH83)))</f>
        <v>0.13781191452098795</v>
      </c>
      <c r="AI88" s="202">
        <f>IF((ISERR(IRR($B$83:AI83))),0,IF(IRR($B$83:AI83)&lt;0,0,IRR($B$83:AI83)))</f>
        <v>0.1385168569318902</v>
      </c>
      <c r="AJ88" s="202">
        <f>IF((ISERR(IRR($B$83:AJ83))),0,IF(IRR($B$83:AJ83)&lt;0,0,IRR($B$83:AJ83)))</f>
        <v>0.13914502437835119</v>
      </c>
      <c r="AK88" s="202">
        <f>IF((ISERR(IRR($B$83:AK83))),0,IF(IRR($B$83:AK83)&lt;0,0,IRR($B$83:AK83)))</f>
        <v>0.13970569177289782</v>
      </c>
      <c r="AL88" s="202">
        <f>IF((ISERR(IRR($B$83:AL83))),0,IF(IRR($B$83:AL83)&lt;0,0,IRR($B$83:AL83)))</f>
        <v>0.14015766429555399</v>
      </c>
      <c r="AM88" s="202">
        <f>IF((ISERR(IRR($B$83:AM83))),0,IF(IRR($B$83:AM83)&lt;0,0,IRR($B$83:AM83)))</f>
        <v>0.14060730828272705</v>
      </c>
      <c r="AN88" s="202">
        <f>IF((ISERR(IRR($B$83:AN83))),0,IF(IRR($B$83:AN83)&lt;0,0,IRR($B$83:AN83)))</f>
        <v>0.14101032079526488</v>
      </c>
      <c r="AO88" s="202">
        <f>IF((ISERR(IRR($B$83:AO83))),0,IF(IRR($B$83:AO83)&lt;0,0,IRR($B$83:AO83)))</f>
        <v>0.1413719743837385</v>
      </c>
      <c r="AP88" s="202">
        <f>IF((ISERR(IRR($B$83:AP83))),0,IF(IRR($B$83:AP83)&lt;0,0,IRR($B$83:AP83)))</f>
        <v>0.14169687767581074</v>
      </c>
    </row>
    <row r="89" spans="1:45" ht="14.25" x14ac:dyDescent="0.2">
      <c r="A89" s="160"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10.370666292041703</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0</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32.100239864941351</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2024</v>
      </c>
      <c r="C91" s="170">
        <f>B91+1</f>
        <v>2025</v>
      </c>
      <c r="D91" s="107">
        <f t="shared" ref="D91:AP91" si="34">C91+1</f>
        <v>2026</v>
      </c>
      <c r="E91" s="107">
        <f t="shared" si="34"/>
        <v>2027</v>
      </c>
      <c r="F91" s="107">
        <f t="shared" si="34"/>
        <v>2028</v>
      </c>
      <c r="G91" s="107">
        <f t="shared" si="34"/>
        <v>2029</v>
      </c>
      <c r="H91" s="107">
        <f t="shared" si="34"/>
        <v>2030</v>
      </c>
      <c r="I91" s="107">
        <f t="shared" si="34"/>
        <v>2031</v>
      </c>
      <c r="J91" s="107">
        <f t="shared" si="34"/>
        <v>2032</v>
      </c>
      <c r="K91" s="107">
        <f t="shared" si="34"/>
        <v>2033</v>
      </c>
      <c r="L91" s="107">
        <f t="shared" si="34"/>
        <v>2034</v>
      </c>
      <c r="M91" s="107">
        <f t="shared" si="34"/>
        <v>2035</v>
      </c>
      <c r="N91" s="107">
        <f t="shared" si="34"/>
        <v>2036</v>
      </c>
      <c r="O91" s="107">
        <f t="shared" si="34"/>
        <v>2037</v>
      </c>
      <c r="P91" s="107">
        <f t="shared" si="34"/>
        <v>2038</v>
      </c>
      <c r="Q91" s="107">
        <f t="shared" si="34"/>
        <v>2039</v>
      </c>
      <c r="R91" s="107">
        <f t="shared" si="34"/>
        <v>2040</v>
      </c>
      <c r="S91" s="107">
        <f t="shared" si="34"/>
        <v>2041</v>
      </c>
      <c r="T91" s="107">
        <f t="shared" si="34"/>
        <v>2042</v>
      </c>
      <c r="U91" s="107">
        <f t="shared" si="34"/>
        <v>2043</v>
      </c>
      <c r="V91" s="107">
        <f t="shared" si="34"/>
        <v>2044</v>
      </c>
      <c r="W91" s="107">
        <f t="shared" si="34"/>
        <v>2045</v>
      </c>
      <c r="X91" s="107">
        <f t="shared" si="34"/>
        <v>2046</v>
      </c>
      <c r="Y91" s="107">
        <f t="shared" si="34"/>
        <v>2047</v>
      </c>
      <c r="Z91" s="107">
        <f t="shared" si="34"/>
        <v>2048</v>
      </c>
      <c r="AA91" s="107">
        <f t="shared" si="34"/>
        <v>2049</v>
      </c>
      <c r="AB91" s="107">
        <f t="shared" si="34"/>
        <v>2050</v>
      </c>
      <c r="AC91" s="107">
        <f t="shared" si="34"/>
        <v>2051</v>
      </c>
      <c r="AD91" s="107">
        <f t="shared" si="34"/>
        <v>2052</v>
      </c>
      <c r="AE91" s="107">
        <f t="shared" si="34"/>
        <v>2053</v>
      </c>
      <c r="AF91" s="107">
        <f t="shared" si="34"/>
        <v>2054</v>
      </c>
      <c r="AG91" s="107">
        <f t="shared" si="34"/>
        <v>2055</v>
      </c>
      <c r="AH91" s="107">
        <f t="shared" si="34"/>
        <v>2056</v>
      </c>
      <c r="AI91" s="107">
        <f t="shared" si="34"/>
        <v>2057</v>
      </c>
      <c r="AJ91" s="107">
        <f t="shared" si="34"/>
        <v>2058</v>
      </c>
      <c r="AK91" s="107">
        <f t="shared" si="34"/>
        <v>2059</v>
      </c>
      <c r="AL91" s="107">
        <f t="shared" si="34"/>
        <v>2060</v>
      </c>
      <c r="AM91" s="107">
        <f t="shared" si="34"/>
        <v>2061</v>
      </c>
      <c r="AN91" s="107">
        <f t="shared" si="34"/>
        <v>2062</v>
      </c>
      <c r="AO91" s="107">
        <f t="shared" si="34"/>
        <v>2063</v>
      </c>
      <c r="AP91" s="107">
        <f t="shared" si="34"/>
        <v>2064</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26" t="s">
        <v>469</v>
      </c>
      <c r="B97" s="526"/>
      <c r="C97" s="526"/>
      <c r="D97" s="526"/>
      <c r="E97" s="526"/>
      <c r="F97" s="526"/>
      <c r="G97" s="526"/>
      <c r="H97" s="526"/>
      <c r="I97" s="526"/>
      <c r="J97" s="526"/>
      <c r="K97" s="526"/>
      <c r="L97" s="526"/>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470</v>
      </c>
      <c r="B99" s="175">
        <f>B81*B85</f>
        <v>-218458.75922600951</v>
      </c>
      <c r="C99" s="176">
        <f>C81*C85</f>
        <v>-7045281.6245005438</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-7263740.3837265531</v>
      </c>
      <c r="AR99" s="178"/>
      <c r="AS99" s="178"/>
    </row>
    <row r="100" spans="1:71" s="182" customFormat="1" hidden="1" x14ac:dyDescent="0.2">
      <c r="A100" s="180">
        <f>AQ99</f>
        <v>-7263740.3837265531</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334536.68992571253</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471</v>
      </c>
      <c r="B102" s="204">
        <f>(A101+-A100)/-A100</f>
        <v>1.046055705773185</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-3.2018812424237106</v>
      </c>
      <c r="B105" s="207">
        <f>L88</f>
        <v>1.6829575777762118E-2</v>
      </c>
      <c r="C105" s="208">
        <f>G28</f>
        <v>10.370666292041703</v>
      </c>
      <c r="D105" s="208" t="str">
        <f>G29</f>
        <v>не окупается</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212" t="s">
        <v>593</v>
      </c>
      <c r="B108" s="213"/>
      <c r="C108" s="213">
        <f>C111*$B$113*$B$114*1000</f>
        <v>0</v>
      </c>
      <c r="D108" s="213">
        <f>D111*$B$113*D114</f>
        <v>255932.90573004005</v>
      </c>
      <c r="E108" s="213">
        <f t="shared" ref="E108:AP108" si="37">E111*$B$113*E114</f>
        <v>546576.10786673997</v>
      </c>
      <c r="F108" s="213">
        <f t="shared" si="37"/>
        <v>848820.46888800012</v>
      </c>
      <c r="G108" s="213">
        <f t="shared" si="37"/>
        <v>882774.41679000005</v>
      </c>
      <c r="H108" s="213">
        <f t="shared" si="37"/>
        <v>882774.41679000005</v>
      </c>
      <c r="I108" s="213">
        <f t="shared" si="37"/>
        <v>882774.41679000005</v>
      </c>
      <c r="J108" s="213">
        <f t="shared" si="37"/>
        <v>882774.41679000005</v>
      </c>
      <c r="K108" s="213">
        <f t="shared" si="37"/>
        <v>882774.41679000005</v>
      </c>
      <c r="L108" s="213">
        <f t="shared" si="37"/>
        <v>882774.41679000005</v>
      </c>
      <c r="M108" s="213">
        <f t="shared" si="37"/>
        <v>882774.41679000005</v>
      </c>
      <c r="N108" s="213">
        <f t="shared" si="37"/>
        <v>882774.41679000005</v>
      </c>
      <c r="O108" s="213">
        <f t="shared" si="37"/>
        <v>882774.41679000005</v>
      </c>
      <c r="P108" s="213">
        <f t="shared" si="37"/>
        <v>882774.41679000005</v>
      </c>
      <c r="Q108" s="213">
        <f t="shared" si="37"/>
        <v>882774.41679000005</v>
      </c>
      <c r="R108" s="213">
        <f t="shared" si="37"/>
        <v>882774.41679000005</v>
      </c>
      <c r="S108" s="213">
        <f t="shared" si="37"/>
        <v>882774.41679000005</v>
      </c>
      <c r="T108" s="213">
        <f t="shared" si="37"/>
        <v>882774.41679000005</v>
      </c>
      <c r="U108" s="213">
        <f t="shared" si="37"/>
        <v>882774.41679000005</v>
      </c>
      <c r="V108" s="213">
        <f t="shared" si="37"/>
        <v>882774.41679000005</v>
      </c>
      <c r="W108" s="213">
        <f t="shared" si="37"/>
        <v>882774.41679000005</v>
      </c>
      <c r="X108" s="213">
        <f t="shared" si="37"/>
        <v>882774.41679000005</v>
      </c>
      <c r="Y108" s="213">
        <f t="shared" si="37"/>
        <v>882774.41679000005</v>
      </c>
      <c r="Z108" s="213">
        <f t="shared" si="37"/>
        <v>882774.41679000005</v>
      </c>
      <c r="AA108" s="213">
        <f t="shared" si="37"/>
        <v>882774.41679000005</v>
      </c>
      <c r="AB108" s="213">
        <f t="shared" si="37"/>
        <v>882774.41679000005</v>
      </c>
      <c r="AC108" s="213">
        <f t="shared" si="37"/>
        <v>882774.41679000005</v>
      </c>
      <c r="AD108" s="213">
        <f t="shared" si="37"/>
        <v>882774.41679000005</v>
      </c>
      <c r="AE108" s="213">
        <f t="shared" si="37"/>
        <v>882774.41679000005</v>
      </c>
      <c r="AF108" s="213">
        <f t="shared" si="37"/>
        <v>882774.41679000005</v>
      </c>
      <c r="AG108" s="213">
        <f t="shared" si="37"/>
        <v>882774.41679000005</v>
      </c>
      <c r="AH108" s="213">
        <f t="shared" si="37"/>
        <v>882774.41679000005</v>
      </c>
      <c r="AI108" s="213">
        <f t="shared" si="37"/>
        <v>882774.41679000005</v>
      </c>
      <c r="AJ108" s="213">
        <f t="shared" si="37"/>
        <v>882774.41679000005</v>
      </c>
      <c r="AK108" s="213">
        <f t="shared" si="37"/>
        <v>882774.41679000005</v>
      </c>
      <c r="AL108" s="213">
        <f t="shared" si="37"/>
        <v>882774.41679000005</v>
      </c>
      <c r="AM108" s="213">
        <f t="shared" si="37"/>
        <v>882774.41679000005</v>
      </c>
      <c r="AN108" s="213">
        <f t="shared" si="37"/>
        <v>882774.41679000005</v>
      </c>
      <c r="AO108" s="213">
        <f t="shared" si="37"/>
        <v>882774.41679000005</v>
      </c>
      <c r="AP108" s="213">
        <f t="shared" si="37"/>
        <v>882774.41679000005</v>
      </c>
      <c r="AT108" s="182"/>
      <c r="AU108" s="182"/>
      <c r="AV108" s="182"/>
      <c r="AW108" s="182"/>
      <c r="AX108" s="182"/>
      <c r="AY108" s="182"/>
      <c r="AZ108" s="182"/>
      <c r="BA108" s="182"/>
      <c r="BB108" s="182"/>
      <c r="BC108" s="182"/>
      <c r="BD108" s="182"/>
      <c r="BE108" s="182"/>
      <c r="BF108" s="182"/>
      <c r="BG108" s="182"/>
    </row>
    <row r="109" spans="1:71" ht="25.5" hidden="1" x14ac:dyDescent="0.2">
      <c r="A109" s="388" t="s">
        <v>595</v>
      </c>
      <c r="B109" s="392"/>
      <c r="C109" s="392"/>
      <c r="D109" s="392">
        <f>$D$120*D114</f>
        <v>37078.031231999994</v>
      </c>
      <c r="E109" s="392">
        <f t="shared" ref="E109:AP109" si="38">$D$120*E114</f>
        <v>39001.411007999995</v>
      </c>
      <c r="F109" s="392">
        <f t="shared" si="38"/>
        <v>40580.773631999997</v>
      </c>
      <c r="G109" s="392">
        <f t="shared" si="38"/>
        <v>42204.05855999999</v>
      </c>
      <c r="H109" s="392">
        <f t="shared" si="38"/>
        <v>42204.05855999999</v>
      </c>
      <c r="I109" s="392">
        <f t="shared" si="38"/>
        <v>42204.05855999999</v>
      </c>
      <c r="J109" s="392">
        <f t="shared" si="38"/>
        <v>42204.05855999999</v>
      </c>
      <c r="K109" s="392">
        <f t="shared" si="38"/>
        <v>42204.05855999999</v>
      </c>
      <c r="L109" s="392">
        <f t="shared" si="38"/>
        <v>42204.05855999999</v>
      </c>
      <c r="M109" s="392">
        <f t="shared" si="38"/>
        <v>42204.05855999999</v>
      </c>
      <c r="N109" s="392">
        <f t="shared" si="38"/>
        <v>42204.05855999999</v>
      </c>
      <c r="O109" s="392">
        <f t="shared" si="38"/>
        <v>42204.05855999999</v>
      </c>
      <c r="P109" s="392">
        <f t="shared" si="38"/>
        <v>42204.05855999999</v>
      </c>
      <c r="Q109" s="392">
        <f t="shared" si="38"/>
        <v>42204.05855999999</v>
      </c>
      <c r="R109" s="392">
        <f t="shared" si="38"/>
        <v>42204.05855999999</v>
      </c>
      <c r="S109" s="392">
        <f t="shared" si="38"/>
        <v>42204.05855999999</v>
      </c>
      <c r="T109" s="392">
        <f t="shared" si="38"/>
        <v>42204.05855999999</v>
      </c>
      <c r="U109" s="392">
        <f t="shared" si="38"/>
        <v>42204.05855999999</v>
      </c>
      <c r="V109" s="392">
        <f t="shared" si="38"/>
        <v>42204.05855999999</v>
      </c>
      <c r="W109" s="392">
        <f t="shared" si="38"/>
        <v>42204.05855999999</v>
      </c>
      <c r="X109" s="392">
        <f t="shared" si="38"/>
        <v>42204.05855999999</v>
      </c>
      <c r="Y109" s="392">
        <f t="shared" si="38"/>
        <v>42204.05855999999</v>
      </c>
      <c r="Z109" s="392">
        <f t="shared" si="38"/>
        <v>42204.05855999999</v>
      </c>
      <c r="AA109" s="392">
        <f t="shared" si="38"/>
        <v>42204.05855999999</v>
      </c>
      <c r="AB109" s="392">
        <f t="shared" si="38"/>
        <v>42204.05855999999</v>
      </c>
      <c r="AC109" s="392">
        <f t="shared" si="38"/>
        <v>42204.05855999999</v>
      </c>
      <c r="AD109" s="392">
        <f t="shared" si="38"/>
        <v>42204.05855999999</v>
      </c>
      <c r="AE109" s="392">
        <f t="shared" si="38"/>
        <v>42204.05855999999</v>
      </c>
      <c r="AF109" s="392">
        <f t="shared" si="38"/>
        <v>42204.05855999999</v>
      </c>
      <c r="AG109" s="392">
        <f t="shared" si="38"/>
        <v>42204.05855999999</v>
      </c>
      <c r="AH109" s="392">
        <f t="shared" si="38"/>
        <v>42204.05855999999</v>
      </c>
      <c r="AI109" s="392">
        <f t="shared" si="38"/>
        <v>42204.05855999999</v>
      </c>
      <c r="AJ109" s="392">
        <f t="shared" si="38"/>
        <v>42204.05855999999</v>
      </c>
      <c r="AK109" s="392">
        <f t="shared" si="38"/>
        <v>42204.05855999999</v>
      </c>
      <c r="AL109" s="392">
        <f t="shared" si="38"/>
        <v>42204.05855999999</v>
      </c>
      <c r="AM109" s="392">
        <f t="shared" si="38"/>
        <v>42204.05855999999</v>
      </c>
      <c r="AN109" s="392">
        <f t="shared" si="38"/>
        <v>42204.05855999999</v>
      </c>
      <c r="AO109" s="392">
        <f t="shared" si="38"/>
        <v>42204.05855999999</v>
      </c>
      <c r="AP109" s="392">
        <f t="shared" si="38"/>
        <v>42204.05855999999</v>
      </c>
      <c r="AT109" s="182"/>
      <c r="AU109" s="182"/>
      <c r="AV109" s="182"/>
      <c r="AW109" s="182"/>
      <c r="AX109" s="182"/>
      <c r="AY109" s="182"/>
      <c r="AZ109" s="182"/>
      <c r="BA109" s="182"/>
      <c r="BB109" s="182"/>
      <c r="BC109" s="182"/>
      <c r="BD109" s="182"/>
      <c r="BE109" s="182"/>
      <c r="BF109" s="182"/>
      <c r="BG109" s="182"/>
    </row>
    <row r="110" spans="1:71" ht="25.5" hidden="1" x14ac:dyDescent="0.2">
      <c r="A110" s="388" t="s">
        <v>594</v>
      </c>
      <c r="B110" s="392"/>
      <c r="C110" s="392"/>
      <c r="D110" s="392">
        <f>0.0687325713321343*1000000</f>
        <v>68732.571332134292</v>
      </c>
      <c r="E110" s="392"/>
      <c r="F110" s="392"/>
      <c r="G110" s="392"/>
      <c r="H110" s="392"/>
      <c r="I110" s="392"/>
      <c r="J110" s="392"/>
      <c r="K110" s="392"/>
      <c r="L110" s="392"/>
      <c r="M110" s="392"/>
      <c r="N110" s="392"/>
      <c r="O110" s="392"/>
      <c r="P110" s="392"/>
      <c r="Q110" s="392"/>
      <c r="R110" s="392"/>
      <c r="S110" s="392"/>
      <c r="T110" s="392"/>
      <c r="U110" s="392"/>
      <c r="V110" s="392"/>
      <c r="W110" s="392"/>
      <c r="X110" s="392"/>
      <c r="Y110" s="392"/>
      <c r="Z110" s="392"/>
      <c r="AA110" s="392"/>
      <c r="AB110" s="392"/>
      <c r="AC110" s="392"/>
      <c r="AD110" s="392"/>
      <c r="AE110" s="392"/>
      <c r="AF110" s="392"/>
      <c r="AG110" s="392"/>
      <c r="AH110" s="392"/>
      <c r="AI110" s="392"/>
      <c r="AJ110" s="392"/>
      <c r="AK110" s="392"/>
      <c r="AL110" s="392"/>
      <c r="AM110" s="392"/>
      <c r="AN110" s="392"/>
      <c r="AO110" s="392"/>
      <c r="AP110" s="392"/>
      <c r="AT110" s="182"/>
      <c r="AU110" s="182"/>
      <c r="AV110" s="182"/>
      <c r="AW110" s="182"/>
      <c r="AX110" s="182"/>
      <c r="AY110" s="182"/>
      <c r="AZ110" s="182"/>
      <c r="BA110" s="182"/>
      <c r="BB110" s="182"/>
      <c r="BC110" s="182"/>
      <c r="BD110" s="182"/>
      <c r="BE110" s="182"/>
      <c r="BF110" s="182"/>
      <c r="BG110" s="182"/>
    </row>
    <row r="111" spans="1:71" ht="12.75" hidden="1" x14ac:dyDescent="0.2">
      <c r="A111" s="212" t="s">
        <v>477</v>
      </c>
      <c r="B111" s="211"/>
      <c r="C111" s="211">
        <f>B111+$I$123*C115</f>
        <v>0</v>
      </c>
      <c r="D111" s="211">
        <f>C111+$I$123*D115</f>
        <v>1.9334700000000003E-2</v>
      </c>
      <c r="E111" s="211">
        <f t="shared" ref="E111:AP111" si="39">D111+$I$123*E115</f>
        <v>3.9255300000000007E-2</v>
      </c>
      <c r="F111" s="211">
        <f t="shared" si="39"/>
        <v>5.859000000000001E-2</v>
      </c>
      <c r="G111" s="211">
        <f t="shared" si="39"/>
        <v>5.859000000000001E-2</v>
      </c>
      <c r="H111" s="211">
        <f t="shared" si="39"/>
        <v>5.859000000000001E-2</v>
      </c>
      <c r="I111" s="211">
        <f t="shared" si="39"/>
        <v>5.859000000000001E-2</v>
      </c>
      <c r="J111" s="211">
        <f t="shared" si="39"/>
        <v>5.859000000000001E-2</v>
      </c>
      <c r="K111" s="211">
        <f t="shared" si="39"/>
        <v>5.859000000000001E-2</v>
      </c>
      <c r="L111" s="211">
        <f t="shared" si="39"/>
        <v>5.859000000000001E-2</v>
      </c>
      <c r="M111" s="211">
        <f t="shared" si="39"/>
        <v>5.859000000000001E-2</v>
      </c>
      <c r="N111" s="211">
        <f t="shared" si="39"/>
        <v>5.859000000000001E-2</v>
      </c>
      <c r="O111" s="211">
        <f t="shared" si="39"/>
        <v>5.859000000000001E-2</v>
      </c>
      <c r="P111" s="211">
        <f t="shared" si="39"/>
        <v>5.859000000000001E-2</v>
      </c>
      <c r="Q111" s="211">
        <f t="shared" si="39"/>
        <v>5.859000000000001E-2</v>
      </c>
      <c r="R111" s="211">
        <f t="shared" si="39"/>
        <v>5.859000000000001E-2</v>
      </c>
      <c r="S111" s="211">
        <f t="shared" si="39"/>
        <v>5.859000000000001E-2</v>
      </c>
      <c r="T111" s="211">
        <f t="shared" si="39"/>
        <v>5.859000000000001E-2</v>
      </c>
      <c r="U111" s="211">
        <f t="shared" si="39"/>
        <v>5.859000000000001E-2</v>
      </c>
      <c r="V111" s="211">
        <f t="shared" si="39"/>
        <v>5.859000000000001E-2</v>
      </c>
      <c r="W111" s="211">
        <f t="shared" si="39"/>
        <v>5.859000000000001E-2</v>
      </c>
      <c r="X111" s="211">
        <f t="shared" si="39"/>
        <v>5.859000000000001E-2</v>
      </c>
      <c r="Y111" s="211">
        <f t="shared" si="39"/>
        <v>5.859000000000001E-2</v>
      </c>
      <c r="Z111" s="211">
        <f t="shared" si="39"/>
        <v>5.859000000000001E-2</v>
      </c>
      <c r="AA111" s="211">
        <f t="shared" si="39"/>
        <v>5.859000000000001E-2</v>
      </c>
      <c r="AB111" s="211">
        <f t="shared" si="39"/>
        <v>5.859000000000001E-2</v>
      </c>
      <c r="AC111" s="211">
        <f t="shared" si="39"/>
        <v>5.859000000000001E-2</v>
      </c>
      <c r="AD111" s="211">
        <f t="shared" si="39"/>
        <v>5.859000000000001E-2</v>
      </c>
      <c r="AE111" s="211">
        <f t="shared" si="39"/>
        <v>5.859000000000001E-2</v>
      </c>
      <c r="AF111" s="211">
        <f t="shared" si="39"/>
        <v>5.859000000000001E-2</v>
      </c>
      <c r="AG111" s="211">
        <f t="shared" si="39"/>
        <v>5.859000000000001E-2</v>
      </c>
      <c r="AH111" s="211">
        <f t="shared" si="39"/>
        <v>5.859000000000001E-2</v>
      </c>
      <c r="AI111" s="211">
        <f t="shared" si="39"/>
        <v>5.859000000000001E-2</v>
      </c>
      <c r="AJ111" s="211">
        <f t="shared" si="39"/>
        <v>5.859000000000001E-2</v>
      </c>
      <c r="AK111" s="211">
        <f t="shared" si="39"/>
        <v>5.859000000000001E-2</v>
      </c>
      <c r="AL111" s="211">
        <f t="shared" si="39"/>
        <v>5.859000000000001E-2</v>
      </c>
      <c r="AM111" s="211">
        <f t="shared" si="39"/>
        <v>5.859000000000001E-2</v>
      </c>
      <c r="AN111" s="211">
        <f t="shared" si="39"/>
        <v>5.859000000000001E-2</v>
      </c>
      <c r="AO111" s="211">
        <f t="shared" si="39"/>
        <v>5.859000000000001E-2</v>
      </c>
      <c r="AP111" s="211">
        <f t="shared" si="39"/>
        <v>5.859000000000001E-2</v>
      </c>
      <c r="AT111" s="182"/>
      <c r="AU111" s="182"/>
      <c r="AV111" s="182"/>
      <c r="AW111" s="182"/>
      <c r="AX111" s="182"/>
      <c r="AY111" s="182"/>
      <c r="AZ111" s="182"/>
      <c r="BA111" s="182"/>
      <c r="BB111" s="182"/>
      <c r="BC111" s="182"/>
      <c r="BD111" s="182"/>
      <c r="BE111" s="182"/>
      <c r="BF111" s="182"/>
      <c r="BG111" s="182"/>
    </row>
    <row r="112" spans="1:71" ht="12.75" hidden="1" x14ac:dyDescent="0.2">
      <c r="A112" s="212" t="s">
        <v>478</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479</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212" t="s">
        <v>596</v>
      </c>
      <c r="B114" s="592">
        <v>2449.0500000000002</v>
      </c>
      <c r="C114" s="592">
        <v>2750.9</v>
      </c>
      <c r="D114" s="592">
        <v>3022.14</v>
      </c>
      <c r="E114" s="592">
        <v>3178.91</v>
      </c>
      <c r="F114" s="592">
        <v>3307.64</v>
      </c>
      <c r="G114" s="592">
        <v>3439.95</v>
      </c>
      <c r="H114" s="393">
        <f>G114</f>
        <v>3439.95</v>
      </c>
      <c r="I114" s="393">
        <f t="shared" ref="I114:AY114" si="40">H114</f>
        <v>3439.95</v>
      </c>
      <c r="J114" s="393">
        <f t="shared" si="40"/>
        <v>3439.95</v>
      </c>
      <c r="K114" s="393">
        <f t="shared" si="40"/>
        <v>3439.95</v>
      </c>
      <c r="L114" s="393">
        <f t="shared" si="40"/>
        <v>3439.95</v>
      </c>
      <c r="M114" s="393">
        <f t="shared" si="40"/>
        <v>3439.95</v>
      </c>
      <c r="N114" s="393">
        <f t="shared" si="40"/>
        <v>3439.95</v>
      </c>
      <c r="O114" s="393">
        <f t="shared" si="40"/>
        <v>3439.95</v>
      </c>
      <c r="P114" s="393">
        <f t="shared" si="40"/>
        <v>3439.95</v>
      </c>
      <c r="Q114" s="393">
        <f t="shared" si="40"/>
        <v>3439.95</v>
      </c>
      <c r="R114" s="393">
        <f t="shared" si="40"/>
        <v>3439.95</v>
      </c>
      <c r="S114" s="393">
        <f t="shared" si="40"/>
        <v>3439.95</v>
      </c>
      <c r="T114" s="393">
        <f t="shared" si="40"/>
        <v>3439.95</v>
      </c>
      <c r="U114" s="393">
        <f t="shared" si="40"/>
        <v>3439.95</v>
      </c>
      <c r="V114" s="393">
        <f t="shared" si="40"/>
        <v>3439.95</v>
      </c>
      <c r="W114" s="393">
        <f t="shared" si="40"/>
        <v>3439.95</v>
      </c>
      <c r="X114" s="393">
        <f t="shared" si="40"/>
        <v>3439.95</v>
      </c>
      <c r="Y114" s="393">
        <f t="shared" si="40"/>
        <v>3439.95</v>
      </c>
      <c r="Z114" s="393">
        <f t="shared" si="40"/>
        <v>3439.95</v>
      </c>
      <c r="AA114" s="393">
        <f t="shared" si="40"/>
        <v>3439.95</v>
      </c>
      <c r="AB114" s="393">
        <f t="shared" si="40"/>
        <v>3439.95</v>
      </c>
      <c r="AC114" s="393">
        <f t="shared" si="40"/>
        <v>3439.95</v>
      </c>
      <c r="AD114" s="393">
        <f t="shared" si="40"/>
        <v>3439.95</v>
      </c>
      <c r="AE114" s="393">
        <f t="shared" si="40"/>
        <v>3439.95</v>
      </c>
      <c r="AF114" s="393">
        <f t="shared" si="40"/>
        <v>3439.95</v>
      </c>
      <c r="AG114" s="393">
        <f t="shared" si="40"/>
        <v>3439.95</v>
      </c>
      <c r="AH114" s="393">
        <f t="shared" si="40"/>
        <v>3439.95</v>
      </c>
      <c r="AI114" s="393">
        <f t="shared" si="40"/>
        <v>3439.95</v>
      </c>
      <c r="AJ114" s="393">
        <f t="shared" si="40"/>
        <v>3439.95</v>
      </c>
      <c r="AK114" s="393">
        <f t="shared" si="40"/>
        <v>3439.95</v>
      </c>
      <c r="AL114" s="393">
        <f t="shared" si="40"/>
        <v>3439.95</v>
      </c>
      <c r="AM114" s="393">
        <f t="shared" si="40"/>
        <v>3439.95</v>
      </c>
      <c r="AN114" s="393">
        <f t="shared" si="40"/>
        <v>3439.95</v>
      </c>
      <c r="AO114" s="393">
        <f t="shared" si="40"/>
        <v>3439.95</v>
      </c>
      <c r="AP114" s="393">
        <f t="shared" si="40"/>
        <v>3439.95</v>
      </c>
      <c r="AQ114" s="393">
        <f t="shared" si="40"/>
        <v>3439.95</v>
      </c>
      <c r="AR114" s="393">
        <f t="shared" si="40"/>
        <v>3439.95</v>
      </c>
      <c r="AS114" s="393">
        <f t="shared" si="40"/>
        <v>3439.95</v>
      </c>
      <c r="AT114" s="393">
        <f t="shared" si="40"/>
        <v>3439.95</v>
      </c>
      <c r="AU114" s="393">
        <f t="shared" si="40"/>
        <v>3439.95</v>
      </c>
      <c r="AV114" s="393">
        <f t="shared" si="40"/>
        <v>3439.95</v>
      </c>
      <c r="AW114" s="393">
        <f t="shared" si="40"/>
        <v>3439.95</v>
      </c>
      <c r="AX114" s="393">
        <f t="shared" si="40"/>
        <v>3439.95</v>
      </c>
      <c r="AY114" s="182"/>
      <c r="AZ114" s="182"/>
      <c r="BA114" s="182"/>
      <c r="BB114" s="182"/>
      <c r="BC114" s="182"/>
      <c r="BD114" s="182"/>
      <c r="BE114" s="182"/>
      <c r="BF114" s="182"/>
      <c r="BG114" s="182"/>
    </row>
    <row r="115" spans="1:71" ht="15" hidden="1" x14ac:dyDescent="0.2">
      <c r="A115" s="215" t="s">
        <v>480</v>
      </c>
      <c r="B115" s="216">
        <v>0</v>
      </c>
      <c r="C115" s="217">
        <v>0</v>
      </c>
      <c r="D115" s="217">
        <v>0.33</v>
      </c>
      <c r="E115" s="217">
        <v>0.34</v>
      </c>
      <c r="F115" s="216">
        <v>0.33</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2"/>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2"/>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13" t="s">
        <v>481</v>
      </c>
      <c r="C118" s="514"/>
      <c r="D118" s="513" t="s">
        <v>482</v>
      </c>
      <c r="E118" s="514"/>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2"/>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20.25" hidden="1" customHeight="1" x14ac:dyDescent="0.2">
      <c r="A119" s="212" t="s">
        <v>483</v>
      </c>
      <c r="B119" s="218"/>
      <c r="C119" s="209" t="s">
        <v>484</v>
      </c>
      <c r="D119" s="277">
        <v>6.3E-2</v>
      </c>
      <c r="E119" s="209" t="s">
        <v>484</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24" hidden="1" customHeight="1" x14ac:dyDescent="0.2">
      <c r="A120" s="388" t="s">
        <v>591</v>
      </c>
      <c r="B120" s="389"/>
      <c r="C120" s="390"/>
      <c r="D120" s="391">
        <v>12.268799999999999</v>
      </c>
      <c r="E120" s="390" t="s">
        <v>592</v>
      </c>
      <c r="F120" s="390"/>
      <c r="G120" s="390"/>
      <c r="H120" s="390"/>
      <c r="I120" s="390"/>
      <c r="J120" s="390"/>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483</v>
      </c>
      <c r="B121" s="209">
        <f>$B$112*B119</f>
        <v>0</v>
      </c>
      <c r="C121" s="209" t="s">
        <v>125</v>
      </c>
      <c r="D121" s="209">
        <f>$B$112*D119</f>
        <v>5.8590000000000003E-2</v>
      </c>
      <c r="E121" s="209" t="s">
        <v>125</v>
      </c>
      <c r="F121" s="212" t="s">
        <v>485</v>
      </c>
      <c r="G121" s="209">
        <f>D119-B119</f>
        <v>6.3E-2</v>
      </c>
      <c r="H121" s="209" t="s">
        <v>484</v>
      </c>
      <c r="I121" s="219">
        <f>$B$112*G121</f>
        <v>5.8590000000000003E-2</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486</v>
      </c>
      <c r="G122" s="209">
        <f>I122/$B$112</f>
        <v>0</v>
      </c>
      <c r="H122" s="209" t="s">
        <v>484</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487</v>
      </c>
      <c r="G123" s="219">
        <f>G121</f>
        <v>6.3E-2</v>
      </c>
      <c r="H123" s="209" t="s">
        <v>484</v>
      </c>
      <c r="I123" s="214">
        <f>I121</f>
        <v>5.8590000000000003E-2</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488</v>
      </c>
      <c r="B125" s="272">
        <f>'6.2. Паспорт фин осв ввод'!C24</f>
        <v>9.3210395500000001</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25</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489</v>
      </c>
      <c r="B127" s="224"/>
      <c r="C127" s="190" t="s">
        <v>490</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491</v>
      </c>
      <c r="B129" s="227">
        <f>$B$125*1000*1000</f>
        <v>9321039.5499999989</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492</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3" t="s">
        <v>493</v>
      </c>
      <c r="B132" s="229">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30"/>
      <c r="B133" s="231"/>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394"/>
      <c r="B134" s="395">
        <v>2024</v>
      </c>
      <c r="C134" s="396">
        <v>2025</v>
      </c>
      <c r="D134" s="396">
        <v>2026</v>
      </c>
      <c r="E134" s="396">
        <v>2027</v>
      </c>
      <c r="F134" s="396">
        <v>2028</v>
      </c>
      <c r="G134" s="396">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397" t="s">
        <v>596</v>
      </c>
      <c r="B135" s="592">
        <v>2449.0500000000002</v>
      </c>
      <c r="C135" s="592">
        <v>2750.9</v>
      </c>
      <c r="D135" s="592">
        <v>3022.14</v>
      </c>
      <c r="E135" s="592">
        <v>3178.91</v>
      </c>
      <c r="F135" s="592">
        <v>3307.64</v>
      </c>
      <c r="G135" s="592">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494</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32">
        <v>2024</v>
      </c>
      <c r="C138" s="232">
        <f>B138+1</f>
        <v>2025</v>
      </c>
      <c r="D138" s="232">
        <f t="shared" ref="D138:AY138" si="41">C138+1</f>
        <v>2026</v>
      </c>
      <c r="E138" s="232">
        <f t="shared" si="41"/>
        <v>2027</v>
      </c>
      <c r="F138" s="232">
        <f t="shared" si="41"/>
        <v>2028</v>
      </c>
      <c r="G138" s="232">
        <f t="shared" si="41"/>
        <v>2029</v>
      </c>
      <c r="H138" s="232">
        <f t="shared" si="41"/>
        <v>2030</v>
      </c>
      <c r="I138" s="232">
        <f t="shared" si="41"/>
        <v>2031</v>
      </c>
      <c r="J138" s="232">
        <f t="shared" si="41"/>
        <v>2032</v>
      </c>
      <c r="K138" s="232">
        <f t="shared" si="41"/>
        <v>2033</v>
      </c>
      <c r="L138" s="232">
        <f t="shared" si="41"/>
        <v>2034</v>
      </c>
      <c r="M138" s="232">
        <f t="shared" si="41"/>
        <v>2035</v>
      </c>
      <c r="N138" s="232">
        <f t="shared" si="41"/>
        <v>2036</v>
      </c>
      <c r="O138" s="232">
        <f t="shared" si="41"/>
        <v>2037</v>
      </c>
      <c r="P138" s="232">
        <f t="shared" si="41"/>
        <v>2038</v>
      </c>
      <c r="Q138" s="232">
        <f t="shared" si="41"/>
        <v>2039</v>
      </c>
      <c r="R138" s="232">
        <f t="shared" si="41"/>
        <v>2040</v>
      </c>
      <c r="S138" s="232">
        <f t="shared" si="41"/>
        <v>2041</v>
      </c>
      <c r="T138" s="232">
        <f t="shared" si="41"/>
        <v>2042</v>
      </c>
      <c r="U138" s="232">
        <f t="shared" si="41"/>
        <v>2043</v>
      </c>
      <c r="V138" s="232">
        <f t="shared" si="41"/>
        <v>2044</v>
      </c>
      <c r="W138" s="232">
        <f t="shared" si="41"/>
        <v>2045</v>
      </c>
      <c r="X138" s="232">
        <f t="shared" si="41"/>
        <v>2046</v>
      </c>
      <c r="Y138" s="232">
        <f t="shared" si="41"/>
        <v>2047</v>
      </c>
      <c r="Z138" s="232">
        <f t="shared" si="41"/>
        <v>2048</v>
      </c>
      <c r="AA138" s="232">
        <f t="shared" si="41"/>
        <v>2049</v>
      </c>
      <c r="AB138" s="232">
        <f t="shared" si="41"/>
        <v>2050</v>
      </c>
      <c r="AC138" s="232">
        <f t="shared" si="41"/>
        <v>2051</v>
      </c>
      <c r="AD138" s="232">
        <f t="shared" si="41"/>
        <v>2052</v>
      </c>
      <c r="AE138" s="232">
        <f t="shared" si="41"/>
        <v>2053</v>
      </c>
      <c r="AF138" s="232">
        <f t="shared" si="41"/>
        <v>2054</v>
      </c>
      <c r="AG138" s="232">
        <f t="shared" si="41"/>
        <v>2055</v>
      </c>
      <c r="AH138" s="232">
        <f t="shared" si="41"/>
        <v>2056</v>
      </c>
      <c r="AI138" s="232">
        <f t="shared" si="41"/>
        <v>2057</v>
      </c>
      <c r="AJ138" s="232">
        <f t="shared" si="41"/>
        <v>2058</v>
      </c>
      <c r="AK138" s="232">
        <f t="shared" si="41"/>
        <v>2059</v>
      </c>
      <c r="AL138" s="232">
        <f t="shared" si="41"/>
        <v>2060</v>
      </c>
      <c r="AM138" s="232">
        <f t="shared" si="41"/>
        <v>2061</v>
      </c>
      <c r="AN138" s="232">
        <f t="shared" si="41"/>
        <v>2062</v>
      </c>
      <c r="AO138" s="232">
        <f t="shared" si="41"/>
        <v>2063</v>
      </c>
      <c r="AP138" s="232">
        <f t="shared" si="41"/>
        <v>2064</v>
      </c>
      <c r="AQ138" s="232">
        <f t="shared" si="41"/>
        <v>2065</v>
      </c>
      <c r="AR138" s="232">
        <f t="shared" si="41"/>
        <v>2066</v>
      </c>
      <c r="AS138" s="232">
        <f t="shared" si="41"/>
        <v>2067</v>
      </c>
      <c r="AT138" s="232">
        <f t="shared" si="41"/>
        <v>2068</v>
      </c>
      <c r="AU138" s="232">
        <f t="shared" si="41"/>
        <v>2069</v>
      </c>
      <c r="AV138" s="232">
        <f t="shared" si="41"/>
        <v>2070</v>
      </c>
      <c r="AW138" s="232">
        <f t="shared" si="41"/>
        <v>2071</v>
      </c>
      <c r="AX138" s="232">
        <f t="shared" si="41"/>
        <v>2072</v>
      </c>
      <c r="AY138" s="232">
        <f t="shared" si="41"/>
        <v>2073</v>
      </c>
    </row>
    <row r="139" spans="1:71" ht="12.75" hidden="1" x14ac:dyDescent="0.2">
      <c r="A139" s="223" t="s">
        <v>495</v>
      </c>
      <c r="B139" s="398">
        <v>9.1135032622053413E-2</v>
      </c>
      <c r="C139" s="398">
        <v>7.8163170639641913E-2</v>
      </c>
      <c r="D139" s="398">
        <v>5.2628968689616612E-2</v>
      </c>
      <c r="E139" s="398">
        <v>4.4208979893394937E-2</v>
      </c>
      <c r="F139" s="233">
        <f t="shared" ref="F139" si="42">E139</f>
        <v>4.4208979893394937E-2</v>
      </c>
      <c r="G139" s="233">
        <f t="shared" ref="G139" si="43">F139</f>
        <v>4.4208979893394937E-2</v>
      </c>
      <c r="H139" s="233">
        <f t="shared" ref="H139" si="44">G139</f>
        <v>4.4208979893394937E-2</v>
      </c>
      <c r="I139" s="233">
        <f t="shared" ref="I139" si="45">H139</f>
        <v>4.4208979893394937E-2</v>
      </c>
      <c r="J139" s="233">
        <f t="shared" ref="J139:AY139" si="46">I139</f>
        <v>4.4208979893394937E-2</v>
      </c>
      <c r="K139" s="233">
        <f t="shared" si="46"/>
        <v>4.4208979893394937E-2</v>
      </c>
      <c r="L139" s="233">
        <f t="shared" si="46"/>
        <v>4.4208979893394937E-2</v>
      </c>
      <c r="M139" s="233">
        <f t="shared" si="46"/>
        <v>4.4208979893394937E-2</v>
      </c>
      <c r="N139" s="233">
        <f t="shared" si="46"/>
        <v>4.4208979893394937E-2</v>
      </c>
      <c r="O139" s="233">
        <f t="shared" si="46"/>
        <v>4.4208979893394937E-2</v>
      </c>
      <c r="P139" s="233">
        <f t="shared" si="46"/>
        <v>4.4208979893394937E-2</v>
      </c>
      <c r="Q139" s="233">
        <f t="shared" si="46"/>
        <v>4.4208979893394937E-2</v>
      </c>
      <c r="R139" s="233">
        <f t="shared" si="46"/>
        <v>4.4208979893394937E-2</v>
      </c>
      <c r="S139" s="233">
        <f t="shared" si="46"/>
        <v>4.4208979893394937E-2</v>
      </c>
      <c r="T139" s="233">
        <f t="shared" si="46"/>
        <v>4.4208979893394937E-2</v>
      </c>
      <c r="U139" s="233">
        <f t="shared" si="46"/>
        <v>4.4208979893394937E-2</v>
      </c>
      <c r="V139" s="233">
        <f t="shared" si="46"/>
        <v>4.4208979893394937E-2</v>
      </c>
      <c r="W139" s="233">
        <f t="shared" si="46"/>
        <v>4.4208979893394937E-2</v>
      </c>
      <c r="X139" s="233">
        <f t="shared" si="46"/>
        <v>4.4208979893394937E-2</v>
      </c>
      <c r="Y139" s="233">
        <f t="shared" si="46"/>
        <v>4.4208979893394937E-2</v>
      </c>
      <c r="Z139" s="233">
        <f t="shared" si="46"/>
        <v>4.4208979893394937E-2</v>
      </c>
      <c r="AA139" s="233">
        <f t="shared" si="46"/>
        <v>4.4208979893394937E-2</v>
      </c>
      <c r="AB139" s="233">
        <f t="shared" si="46"/>
        <v>4.4208979893394937E-2</v>
      </c>
      <c r="AC139" s="233">
        <f t="shared" si="46"/>
        <v>4.4208979893394937E-2</v>
      </c>
      <c r="AD139" s="233">
        <f t="shared" si="46"/>
        <v>4.4208979893394937E-2</v>
      </c>
      <c r="AE139" s="233">
        <f t="shared" si="46"/>
        <v>4.4208979893394937E-2</v>
      </c>
      <c r="AF139" s="233">
        <f t="shared" si="46"/>
        <v>4.4208979893394937E-2</v>
      </c>
      <c r="AG139" s="233">
        <f t="shared" si="46"/>
        <v>4.4208979893394937E-2</v>
      </c>
      <c r="AH139" s="233">
        <f t="shared" si="46"/>
        <v>4.4208979893394937E-2</v>
      </c>
      <c r="AI139" s="233">
        <f t="shared" si="46"/>
        <v>4.4208979893394937E-2</v>
      </c>
      <c r="AJ139" s="233">
        <f t="shared" si="46"/>
        <v>4.4208979893394937E-2</v>
      </c>
      <c r="AK139" s="233">
        <f t="shared" si="46"/>
        <v>4.4208979893394937E-2</v>
      </c>
      <c r="AL139" s="233">
        <f t="shared" si="46"/>
        <v>4.4208979893394937E-2</v>
      </c>
      <c r="AM139" s="233">
        <f t="shared" si="46"/>
        <v>4.4208979893394937E-2</v>
      </c>
      <c r="AN139" s="233">
        <f t="shared" si="46"/>
        <v>4.4208979893394937E-2</v>
      </c>
      <c r="AO139" s="233">
        <f t="shared" si="46"/>
        <v>4.4208979893394937E-2</v>
      </c>
      <c r="AP139" s="233">
        <f t="shared" si="46"/>
        <v>4.4208979893394937E-2</v>
      </c>
      <c r="AQ139" s="233">
        <f t="shared" si="46"/>
        <v>4.4208979893394937E-2</v>
      </c>
      <c r="AR139" s="233">
        <f t="shared" si="46"/>
        <v>4.4208979893394937E-2</v>
      </c>
      <c r="AS139" s="233">
        <f t="shared" si="46"/>
        <v>4.4208979893394937E-2</v>
      </c>
      <c r="AT139" s="233">
        <f t="shared" si="46"/>
        <v>4.4208979893394937E-2</v>
      </c>
      <c r="AU139" s="233">
        <f t="shared" si="46"/>
        <v>4.4208979893394937E-2</v>
      </c>
      <c r="AV139" s="233">
        <f t="shared" si="46"/>
        <v>4.4208979893394937E-2</v>
      </c>
      <c r="AW139" s="233">
        <f t="shared" si="46"/>
        <v>4.4208979893394937E-2</v>
      </c>
      <c r="AX139" s="233">
        <f t="shared" si="46"/>
        <v>4.4208979893394937E-2</v>
      </c>
      <c r="AY139" s="233">
        <f t="shared" si="46"/>
        <v>4.4208979893394937E-2</v>
      </c>
    </row>
    <row r="140" spans="1:71" s="148" customFormat="1" ht="15" hidden="1" x14ac:dyDescent="0.2">
      <c r="A140" s="223" t="s">
        <v>496</v>
      </c>
      <c r="B140" s="398">
        <f>B139</f>
        <v>9.1135032622053413E-2</v>
      </c>
      <c r="C140" s="198">
        <f>(1+B140)*(1+C139)-1</f>
        <v>0.17642160636778237</v>
      </c>
      <c r="D140" s="198">
        <f t="shared" ref="D140:AY140" si="47">(1+C140)*(1+D139)-1</f>
        <v>0.23833546225510083</v>
      </c>
      <c r="E140" s="198">
        <f t="shared" si="47"/>
        <v>0.29308100980721452</v>
      </c>
      <c r="F140" s="198">
        <f t="shared" si="47"/>
        <v>0.35024680217031245</v>
      </c>
      <c r="G140" s="198">
        <f t="shared" si="47"/>
        <v>0.40993983589858063</v>
      </c>
      <c r="H140" s="198">
        <f t="shared" si="47"/>
        <v>0.47227183775471748</v>
      </c>
      <c r="I140" s="198">
        <f t="shared" si="47"/>
        <v>0.53735947382762728</v>
      </c>
      <c r="J140" s="198">
        <f t="shared" si="47"/>
        <v>0.605324567894993</v>
      </c>
      <c r="K140" s="198">
        <f t="shared" si="47"/>
        <v>0.67629432943943568</v>
      </c>
      <c r="L140" s="198">
        <f t="shared" si="47"/>
        <v>0.75040159174503551</v>
      </c>
      <c r="M140" s="198">
        <f t="shared" si="47"/>
        <v>0.82778506051985823</v>
      </c>
      <c r="N140" s="198">
        <f t="shared" si="47"/>
        <v>0.90858957350982816</v>
      </c>
      <c r="O140" s="198">
        <f t="shared" si="47"/>
        <v>0.99296637158986734</v>
      </c>
      <c r="P140" s="198">
        <f t="shared" si="47"/>
        <v>1.0810733818396958</v>
      </c>
      <c r="Q140" s="198">
        <f t="shared" si="47"/>
        <v>1.1730755131341262</v>
      </c>
      <c r="R140" s="198">
        <f t="shared" si="47"/>
        <v>1.2691449648011015</v>
      </c>
      <c r="S140" s="198">
        <f t="shared" si="47"/>
        <v>1.3694615489251918</v>
      </c>
      <c r="T140" s="198">
        <f t="shared" si="47"/>
        <v>1.4742130268997977</v>
      </c>
      <c r="U140" s="198">
        <f t="shared" si="47"/>
        <v>1.5835954608579867</v>
      </c>
      <c r="V140" s="198">
        <f t="shared" si="47"/>
        <v>1.6978135806397239</v>
      </c>
      <c r="W140" s="198">
        <f t="shared" si="47"/>
        <v>1.8170811669823532</v>
      </c>
      <c r="X140" s="198">
        <f t="shared" si="47"/>
        <v>1.9416214516515375</v>
      </c>
      <c r="Y140" s="198">
        <f t="shared" si="47"/>
        <v>2.0716675352615797</v>
      </c>
      <c r="Z140" s="198">
        <f t="shared" si="47"/>
        <v>2.2074628235671527</v>
      </c>
      <c r="AA140" s="198">
        <f t="shared" si="47"/>
        <v>2.3492614830430445</v>
      </c>
      <c r="AB140" s="198">
        <f t="shared" si="47"/>
        <v>2.4973289166046162</v>
      </c>
      <c r="AC140" s="198">
        <f t="shared" si="47"/>
        <v>2.6519422603593781</v>
      </c>
      <c r="AD140" s="198">
        <f t="shared" si="47"/>
        <v>2.813390902319445</v>
      </c>
      <c r="AE140" s="198">
        <f t="shared" si="47"/>
        <v>2.9819770240457402</v>
      </c>
      <c r="AF140" s="198">
        <f t="shared" si="47"/>
        <v>3.1580161662377391</v>
      </c>
      <c r="AG140" s="198">
        <f t="shared" si="47"/>
        <v>3.3418378193273544</v>
      </c>
      <c r="AH140" s="198">
        <f t="shared" si="47"/>
        <v>3.5337860401823793</v>
      </c>
      <c r="AI140" s="198">
        <f t="shared" si="47"/>
        <v>3.7342200960737566</v>
      </c>
      <c r="AJ140" s="198">
        <f t="shared" si="47"/>
        <v>3.9435151371119872</v>
      </c>
      <c r="AK140" s="198">
        <f t="shared" si="47"/>
        <v>4.1620628984112642</v>
      </c>
      <c r="AL140" s="198">
        <f t="shared" si="47"/>
        <v>4.3902724332955678</v>
      </c>
      <c r="AM140" s="198">
        <f t="shared" si="47"/>
        <v>4.6285708789190521</v>
      </c>
      <c r="AN140" s="198">
        <f t="shared" si="47"/>
        <v>4.8774042557337323</v>
      </c>
      <c r="AO140" s="198">
        <f t="shared" si="47"/>
        <v>5.1372383023008181</v>
      </c>
      <c r="AP140" s="198">
        <f t="shared" si="47"/>
        <v>5.4085593470082083</v>
      </c>
      <c r="AQ140" s="198">
        <f t="shared" si="47"/>
        <v>5.6918752183257224</v>
      </c>
      <c r="AR140" s="198">
        <f t="shared" si="47"/>
        <v>5.9877161953017914</v>
      </c>
      <c r="AS140" s="198">
        <f t="shared" si="47"/>
        <v>6.2966360000806381</v>
      </c>
      <c r="AT140" s="198">
        <f t="shared" si="47"/>
        <v>6.619212834297624</v>
      </c>
      <c r="AU140" s="198">
        <f t="shared" si="47"/>
        <v>6.956050461292584</v>
      </c>
      <c r="AV140" s="198">
        <f t="shared" si="47"/>
        <v>7.3077793361667034</v>
      </c>
      <c r="AW140" s="198">
        <f>(1+AV140)*(1+AW139)-1</f>
        <v>7.6750577857980584</v>
      </c>
      <c r="AX140" s="198">
        <f t="shared" si="47"/>
        <v>8.0585732410244439</v>
      </c>
      <c r="AY140" s="198">
        <f t="shared" si="47"/>
        <v>8.459043523299739</v>
      </c>
    </row>
    <row r="141" spans="1:71" s="148" customFormat="1" hidden="1" x14ac:dyDescent="0.2">
      <c r="A141" s="194"/>
      <c r="B141" s="234"/>
      <c r="C141" s="235"/>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c r="AC141" s="235"/>
      <c r="AD141" s="235"/>
      <c r="AE141" s="235"/>
      <c r="AF141" s="235"/>
      <c r="AG141" s="235"/>
      <c r="AH141" s="235"/>
      <c r="AI141" s="235"/>
      <c r="AJ141" s="235"/>
      <c r="AK141" s="235"/>
      <c r="AL141" s="235"/>
      <c r="AM141" s="235"/>
      <c r="AN141" s="235"/>
      <c r="AO141" s="235"/>
      <c r="AP141" s="235"/>
      <c r="AQ141" s="108"/>
    </row>
    <row r="142" spans="1:71" ht="12.75" hidden="1" x14ac:dyDescent="0.2">
      <c r="A142" s="189"/>
      <c r="B142" s="232">
        <v>2024</v>
      </c>
      <c r="C142" s="232">
        <f>B142+1</f>
        <v>2025</v>
      </c>
      <c r="D142" s="232">
        <f t="shared" ref="D142:AY143" si="48">C142+1</f>
        <v>2026</v>
      </c>
      <c r="E142" s="232">
        <f t="shared" si="48"/>
        <v>2027</v>
      </c>
      <c r="F142" s="232">
        <f t="shared" si="48"/>
        <v>2028</v>
      </c>
      <c r="G142" s="232">
        <f t="shared" si="48"/>
        <v>2029</v>
      </c>
      <c r="H142" s="232">
        <f t="shared" si="48"/>
        <v>2030</v>
      </c>
      <c r="I142" s="232">
        <f t="shared" si="48"/>
        <v>2031</v>
      </c>
      <c r="J142" s="232">
        <f t="shared" si="48"/>
        <v>2032</v>
      </c>
      <c r="K142" s="232">
        <f t="shared" si="48"/>
        <v>2033</v>
      </c>
      <c r="L142" s="232">
        <f t="shared" si="48"/>
        <v>2034</v>
      </c>
      <c r="M142" s="232">
        <f t="shared" si="48"/>
        <v>2035</v>
      </c>
      <c r="N142" s="232">
        <f t="shared" si="48"/>
        <v>2036</v>
      </c>
      <c r="O142" s="232">
        <f t="shared" si="48"/>
        <v>2037</v>
      </c>
      <c r="P142" s="232">
        <f t="shared" si="48"/>
        <v>2038</v>
      </c>
      <c r="Q142" s="232">
        <f t="shared" si="48"/>
        <v>2039</v>
      </c>
      <c r="R142" s="232">
        <f t="shared" si="48"/>
        <v>2040</v>
      </c>
      <c r="S142" s="232">
        <f t="shared" si="48"/>
        <v>2041</v>
      </c>
      <c r="T142" s="232">
        <f t="shared" si="48"/>
        <v>2042</v>
      </c>
      <c r="U142" s="232">
        <f t="shared" si="48"/>
        <v>2043</v>
      </c>
      <c r="V142" s="232">
        <f t="shared" si="48"/>
        <v>2044</v>
      </c>
      <c r="W142" s="232">
        <f t="shared" si="48"/>
        <v>2045</v>
      </c>
      <c r="X142" s="232">
        <f t="shared" si="48"/>
        <v>2046</v>
      </c>
      <c r="Y142" s="232">
        <f t="shared" si="48"/>
        <v>2047</v>
      </c>
      <c r="Z142" s="232">
        <f t="shared" si="48"/>
        <v>2048</v>
      </c>
      <c r="AA142" s="232">
        <f t="shared" si="48"/>
        <v>2049</v>
      </c>
      <c r="AB142" s="232">
        <f t="shared" si="48"/>
        <v>2050</v>
      </c>
      <c r="AC142" s="232">
        <f t="shared" si="48"/>
        <v>2051</v>
      </c>
      <c r="AD142" s="232">
        <f t="shared" si="48"/>
        <v>2052</v>
      </c>
      <c r="AE142" s="232">
        <f t="shared" si="48"/>
        <v>2053</v>
      </c>
      <c r="AF142" s="232">
        <f t="shared" si="48"/>
        <v>2054</v>
      </c>
      <c r="AG142" s="232">
        <f t="shared" si="48"/>
        <v>2055</v>
      </c>
      <c r="AH142" s="232">
        <f t="shared" si="48"/>
        <v>2056</v>
      </c>
      <c r="AI142" s="232">
        <f t="shared" si="48"/>
        <v>2057</v>
      </c>
      <c r="AJ142" s="232">
        <f t="shared" si="48"/>
        <v>2058</v>
      </c>
      <c r="AK142" s="232">
        <f t="shared" si="48"/>
        <v>2059</v>
      </c>
      <c r="AL142" s="232">
        <f t="shared" si="48"/>
        <v>2060</v>
      </c>
      <c r="AM142" s="232">
        <f t="shared" si="48"/>
        <v>2061</v>
      </c>
      <c r="AN142" s="232">
        <f t="shared" si="48"/>
        <v>2062</v>
      </c>
      <c r="AO142" s="232">
        <f t="shared" si="48"/>
        <v>2063</v>
      </c>
      <c r="AP142" s="232">
        <f t="shared" si="48"/>
        <v>2064</v>
      </c>
      <c r="AQ142" s="232">
        <f t="shared" si="48"/>
        <v>2065</v>
      </c>
      <c r="AR142" s="232">
        <f t="shared" si="48"/>
        <v>2066</v>
      </c>
      <c r="AS142" s="232">
        <f t="shared" si="48"/>
        <v>2067</v>
      </c>
      <c r="AT142" s="232">
        <f t="shared" si="48"/>
        <v>2068</v>
      </c>
      <c r="AU142" s="232">
        <f t="shared" si="48"/>
        <v>2069</v>
      </c>
      <c r="AV142" s="232">
        <f t="shared" si="48"/>
        <v>2070</v>
      </c>
      <c r="AW142" s="232">
        <f t="shared" si="48"/>
        <v>2071</v>
      </c>
      <c r="AX142" s="232">
        <f t="shared" si="48"/>
        <v>2072</v>
      </c>
      <c r="AY142" s="232">
        <f t="shared" si="48"/>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6">
        <f>1</f>
        <v>1</v>
      </c>
      <c r="C143" s="236">
        <f t="shared" ref="C143" si="49">B143+1</f>
        <v>2</v>
      </c>
      <c r="D143" s="236">
        <f t="shared" si="48"/>
        <v>3</v>
      </c>
      <c r="E143" s="236">
        <f>D143+1</f>
        <v>4</v>
      </c>
      <c r="F143" s="236">
        <f t="shared" si="48"/>
        <v>5</v>
      </c>
      <c r="G143" s="236">
        <f t="shared" si="48"/>
        <v>6</v>
      </c>
      <c r="H143" s="236">
        <f t="shared" si="48"/>
        <v>7</v>
      </c>
      <c r="I143" s="236">
        <f t="shared" si="48"/>
        <v>8</v>
      </c>
      <c r="J143" s="236">
        <f t="shared" si="48"/>
        <v>9</v>
      </c>
      <c r="K143" s="236">
        <f t="shared" si="48"/>
        <v>10</v>
      </c>
      <c r="L143" s="236">
        <f t="shared" si="48"/>
        <v>11</v>
      </c>
      <c r="M143" s="236">
        <f t="shared" si="48"/>
        <v>12</v>
      </c>
      <c r="N143" s="236">
        <f t="shared" si="48"/>
        <v>13</v>
      </c>
      <c r="O143" s="236">
        <f t="shared" si="48"/>
        <v>14</v>
      </c>
      <c r="P143" s="236">
        <f t="shared" si="48"/>
        <v>15</v>
      </c>
      <c r="Q143" s="236">
        <f t="shared" si="48"/>
        <v>16</v>
      </c>
      <c r="R143" s="236">
        <f t="shared" si="48"/>
        <v>17</v>
      </c>
      <c r="S143" s="236">
        <f t="shared" si="48"/>
        <v>18</v>
      </c>
      <c r="T143" s="236">
        <f t="shared" si="48"/>
        <v>19</v>
      </c>
      <c r="U143" s="236">
        <f t="shared" si="48"/>
        <v>20</v>
      </c>
      <c r="V143" s="236">
        <f t="shared" si="48"/>
        <v>21</v>
      </c>
      <c r="W143" s="236">
        <f t="shared" si="48"/>
        <v>22</v>
      </c>
      <c r="X143" s="236">
        <f t="shared" si="48"/>
        <v>23</v>
      </c>
      <c r="Y143" s="236">
        <f t="shared" si="48"/>
        <v>24</v>
      </c>
      <c r="Z143" s="236">
        <f t="shared" si="48"/>
        <v>25</v>
      </c>
      <c r="AA143" s="236">
        <f t="shared" si="48"/>
        <v>26</v>
      </c>
      <c r="AB143" s="236">
        <f t="shared" si="48"/>
        <v>27</v>
      </c>
      <c r="AC143" s="236">
        <f t="shared" si="48"/>
        <v>28</v>
      </c>
      <c r="AD143" s="236">
        <f t="shared" si="48"/>
        <v>29</v>
      </c>
      <c r="AE143" s="236">
        <f t="shared" si="48"/>
        <v>30</v>
      </c>
      <c r="AF143" s="236">
        <f t="shared" si="48"/>
        <v>31</v>
      </c>
      <c r="AG143" s="236">
        <f t="shared" si="48"/>
        <v>32</v>
      </c>
      <c r="AH143" s="236">
        <f t="shared" si="48"/>
        <v>33</v>
      </c>
      <c r="AI143" s="236">
        <f t="shared" si="48"/>
        <v>34</v>
      </c>
      <c r="AJ143" s="236">
        <f t="shared" si="48"/>
        <v>35</v>
      </c>
      <c r="AK143" s="236">
        <f t="shared" si="48"/>
        <v>36</v>
      </c>
      <c r="AL143" s="236">
        <f t="shared" si="48"/>
        <v>37</v>
      </c>
      <c r="AM143" s="236">
        <f t="shared" si="48"/>
        <v>38</v>
      </c>
      <c r="AN143" s="236">
        <f t="shared" si="48"/>
        <v>39</v>
      </c>
      <c r="AO143" s="236">
        <f t="shared" si="48"/>
        <v>40</v>
      </c>
      <c r="AP143" s="236">
        <f>AO143+1</f>
        <v>41</v>
      </c>
      <c r="AQ143" s="236">
        <f t="shared" si="48"/>
        <v>42</v>
      </c>
      <c r="AR143" s="236">
        <f t="shared" si="48"/>
        <v>43</v>
      </c>
      <c r="AS143" s="236">
        <f t="shared" si="48"/>
        <v>44</v>
      </c>
      <c r="AT143" s="236">
        <f t="shared" si="48"/>
        <v>45</v>
      </c>
      <c r="AU143" s="236">
        <f t="shared" si="48"/>
        <v>46</v>
      </c>
      <c r="AV143" s="236">
        <f t="shared" si="48"/>
        <v>47</v>
      </c>
      <c r="AW143" s="236">
        <f t="shared" si="48"/>
        <v>48</v>
      </c>
      <c r="AX143" s="236">
        <f t="shared" si="48"/>
        <v>49</v>
      </c>
      <c r="AY143" s="236">
        <f t="shared" si="48"/>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7">
        <v>0.5</v>
      </c>
      <c r="C144" s="237">
        <f>AVERAGE(B143:C143)</f>
        <v>1.5</v>
      </c>
      <c r="D144" s="237">
        <f>AVERAGE(C143:D143)</f>
        <v>2.5</v>
      </c>
      <c r="E144" s="237">
        <f>AVERAGE(D143:E143)</f>
        <v>3.5</v>
      </c>
      <c r="F144" s="237">
        <f t="shared" ref="F144:AO144" si="50">AVERAGE(E143:F143)</f>
        <v>4.5</v>
      </c>
      <c r="G144" s="237">
        <f t="shared" si="50"/>
        <v>5.5</v>
      </c>
      <c r="H144" s="237">
        <f t="shared" si="50"/>
        <v>6.5</v>
      </c>
      <c r="I144" s="237">
        <f t="shared" si="50"/>
        <v>7.5</v>
      </c>
      <c r="J144" s="237">
        <f t="shared" si="50"/>
        <v>8.5</v>
      </c>
      <c r="K144" s="237">
        <f t="shared" si="50"/>
        <v>9.5</v>
      </c>
      <c r="L144" s="237">
        <f t="shared" si="50"/>
        <v>10.5</v>
      </c>
      <c r="M144" s="237">
        <f t="shared" si="50"/>
        <v>11.5</v>
      </c>
      <c r="N144" s="237">
        <f t="shared" si="50"/>
        <v>12.5</v>
      </c>
      <c r="O144" s="237">
        <f t="shared" si="50"/>
        <v>13.5</v>
      </c>
      <c r="P144" s="237">
        <f t="shared" si="50"/>
        <v>14.5</v>
      </c>
      <c r="Q144" s="237">
        <f t="shared" si="50"/>
        <v>15.5</v>
      </c>
      <c r="R144" s="237">
        <f t="shared" si="50"/>
        <v>16.5</v>
      </c>
      <c r="S144" s="237">
        <f t="shared" si="50"/>
        <v>17.5</v>
      </c>
      <c r="T144" s="237">
        <f t="shared" si="50"/>
        <v>18.5</v>
      </c>
      <c r="U144" s="237">
        <f t="shared" si="50"/>
        <v>19.5</v>
      </c>
      <c r="V144" s="237">
        <f t="shared" si="50"/>
        <v>20.5</v>
      </c>
      <c r="W144" s="237">
        <f t="shared" si="50"/>
        <v>21.5</v>
      </c>
      <c r="X144" s="237">
        <f t="shared" si="50"/>
        <v>22.5</v>
      </c>
      <c r="Y144" s="237">
        <f t="shared" si="50"/>
        <v>23.5</v>
      </c>
      <c r="Z144" s="237">
        <f t="shared" si="50"/>
        <v>24.5</v>
      </c>
      <c r="AA144" s="237">
        <f t="shared" si="50"/>
        <v>25.5</v>
      </c>
      <c r="AB144" s="237">
        <f t="shared" si="50"/>
        <v>26.5</v>
      </c>
      <c r="AC144" s="237">
        <f t="shared" si="50"/>
        <v>27.5</v>
      </c>
      <c r="AD144" s="237">
        <f t="shared" si="50"/>
        <v>28.5</v>
      </c>
      <c r="AE144" s="237">
        <f t="shared" si="50"/>
        <v>29.5</v>
      </c>
      <c r="AF144" s="237">
        <f t="shared" si="50"/>
        <v>30.5</v>
      </c>
      <c r="AG144" s="237">
        <f t="shared" si="50"/>
        <v>31.5</v>
      </c>
      <c r="AH144" s="237">
        <f t="shared" si="50"/>
        <v>32.5</v>
      </c>
      <c r="AI144" s="237">
        <f t="shared" si="50"/>
        <v>33.5</v>
      </c>
      <c r="AJ144" s="237">
        <f t="shared" si="50"/>
        <v>34.5</v>
      </c>
      <c r="AK144" s="237">
        <f t="shared" si="50"/>
        <v>35.5</v>
      </c>
      <c r="AL144" s="237">
        <f t="shared" si="50"/>
        <v>36.5</v>
      </c>
      <c r="AM144" s="237">
        <f t="shared" si="50"/>
        <v>37.5</v>
      </c>
      <c r="AN144" s="237">
        <f t="shared" si="50"/>
        <v>38.5</v>
      </c>
      <c r="AO144" s="237">
        <f t="shared" si="50"/>
        <v>39.5</v>
      </c>
      <c r="AP144" s="237">
        <f>AVERAGE(AO143:AP143)</f>
        <v>40.5</v>
      </c>
      <c r="AQ144" s="237">
        <f t="shared" ref="AQ144:AY144" si="51">AVERAGE(AP143:AQ143)</f>
        <v>41.5</v>
      </c>
      <c r="AR144" s="237">
        <f t="shared" si="51"/>
        <v>42.5</v>
      </c>
      <c r="AS144" s="237">
        <f t="shared" si="51"/>
        <v>43.5</v>
      </c>
      <c r="AT144" s="237">
        <f t="shared" si="51"/>
        <v>44.5</v>
      </c>
      <c r="AU144" s="237">
        <f t="shared" si="51"/>
        <v>45.5</v>
      </c>
      <c r="AV144" s="237">
        <f t="shared" si="51"/>
        <v>46.5</v>
      </c>
      <c r="AW144" s="237">
        <f t="shared" si="51"/>
        <v>47.5</v>
      </c>
      <c r="AX144" s="237">
        <f t="shared" si="51"/>
        <v>48.5</v>
      </c>
      <c r="AY144" s="237">
        <f t="shared" si="51"/>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9" zoomScale="70" zoomScaleSheetLayoutView="70" workbookViewId="0">
      <selection activeCell="I44" sqref="I44:J44"/>
    </sheetView>
  </sheetViews>
  <sheetFormatPr defaultColWidth="9.140625" defaultRowHeight="15" x14ac:dyDescent="0.25"/>
  <cols>
    <col min="1" max="1" width="9.140625" style="286"/>
    <col min="2" max="2" width="37.7109375" style="286" customWidth="1"/>
    <col min="3" max="4" width="15.7109375" style="288" customWidth="1"/>
    <col min="5" max="6" width="15.7109375" style="286" customWidth="1"/>
    <col min="7" max="8" width="15.7109375" style="286" hidden="1" customWidth="1"/>
    <col min="9" max="10" width="18.28515625" style="286" customWidth="1"/>
    <col min="11" max="11" width="64.85546875" style="286" customWidth="1"/>
    <col min="12" max="12" width="32.28515625" style="286" customWidth="1"/>
    <col min="13" max="16384" width="9.140625" style="286"/>
  </cols>
  <sheetData>
    <row r="1" spans="1:12" ht="18.75" x14ac:dyDescent="0.25">
      <c r="A1" s="49"/>
      <c r="B1" s="49"/>
      <c r="C1" s="49"/>
      <c r="D1" s="49"/>
      <c r="E1" s="49"/>
      <c r="F1" s="49"/>
      <c r="G1" s="49"/>
      <c r="H1" s="49"/>
      <c r="I1" s="49"/>
      <c r="J1" s="49"/>
      <c r="K1" s="49"/>
      <c r="L1" s="252" t="s">
        <v>65</v>
      </c>
    </row>
    <row r="2" spans="1:12" ht="18.75" x14ac:dyDescent="0.3">
      <c r="A2" s="49"/>
      <c r="B2" s="49"/>
      <c r="C2" s="49"/>
      <c r="D2" s="49"/>
      <c r="E2" s="49"/>
      <c r="F2" s="49"/>
      <c r="G2" s="49"/>
      <c r="H2" s="49"/>
      <c r="I2" s="49"/>
      <c r="J2" s="49"/>
      <c r="K2" s="49"/>
      <c r="L2" s="253" t="s">
        <v>7</v>
      </c>
    </row>
    <row r="3" spans="1:12" ht="18.75" x14ac:dyDescent="0.3">
      <c r="A3" s="49"/>
      <c r="B3" s="49"/>
      <c r="C3" s="49"/>
      <c r="D3" s="49"/>
      <c r="E3" s="49"/>
      <c r="F3" s="49"/>
      <c r="G3" s="49"/>
      <c r="H3" s="49"/>
      <c r="I3" s="49"/>
      <c r="J3" s="49"/>
      <c r="K3" s="49"/>
      <c r="L3" s="253" t="s">
        <v>510</v>
      </c>
    </row>
    <row r="4" spans="1:12" ht="18.75" x14ac:dyDescent="0.3">
      <c r="A4" s="49"/>
      <c r="B4" s="49"/>
      <c r="C4" s="49"/>
      <c r="D4" s="49"/>
      <c r="E4" s="49"/>
      <c r="F4" s="49"/>
      <c r="G4" s="49"/>
      <c r="H4" s="49"/>
      <c r="I4" s="49"/>
      <c r="J4" s="49"/>
      <c r="K4" s="253"/>
      <c r="L4" s="49"/>
    </row>
    <row r="5" spans="1:12" ht="15.75" x14ac:dyDescent="0.25">
      <c r="A5" s="451" t="str">
        <f>'1. паспорт местоположение'!A5:C5</f>
        <v>Год раскрытия информации: 2025 год</v>
      </c>
      <c r="B5" s="451"/>
      <c r="C5" s="451"/>
      <c r="D5" s="451"/>
      <c r="E5" s="451"/>
      <c r="F5" s="451"/>
      <c r="G5" s="451"/>
      <c r="H5" s="451"/>
      <c r="I5" s="451"/>
      <c r="J5" s="451"/>
      <c r="K5" s="451"/>
      <c r="L5" s="451"/>
    </row>
    <row r="6" spans="1:12" ht="18.75" x14ac:dyDescent="0.3">
      <c r="A6" s="49"/>
      <c r="B6" s="49"/>
      <c r="C6" s="49"/>
      <c r="D6" s="49"/>
      <c r="E6" s="49"/>
      <c r="F6" s="49"/>
      <c r="G6" s="49"/>
      <c r="H6" s="49"/>
      <c r="I6" s="49"/>
      <c r="J6" s="49"/>
      <c r="K6" s="253"/>
      <c r="L6" s="49"/>
    </row>
    <row r="7" spans="1:12" ht="18.75" x14ac:dyDescent="0.25">
      <c r="A7" s="455" t="s">
        <v>6</v>
      </c>
      <c r="B7" s="455"/>
      <c r="C7" s="455"/>
      <c r="D7" s="455"/>
      <c r="E7" s="455"/>
      <c r="F7" s="455"/>
      <c r="G7" s="455"/>
      <c r="H7" s="455"/>
      <c r="I7" s="455"/>
      <c r="J7" s="455"/>
      <c r="K7" s="455"/>
      <c r="L7" s="455"/>
    </row>
    <row r="8" spans="1:12" ht="18.75" x14ac:dyDescent="0.25">
      <c r="A8" s="455"/>
      <c r="B8" s="455"/>
      <c r="C8" s="455"/>
      <c r="D8" s="455"/>
      <c r="E8" s="455"/>
      <c r="F8" s="455"/>
      <c r="G8" s="455"/>
      <c r="H8" s="455"/>
      <c r="I8" s="455"/>
      <c r="J8" s="455"/>
      <c r="K8" s="455"/>
      <c r="L8" s="455"/>
    </row>
    <row r="9" spans="1:12" x14ac:dyDescent="0.25">
      <c r="A9" s="538" t="str">
        <f>'5. анализ эконом эфф'!A9:H9</f>
        <v>Акционерное общество "Россети Янтарь" ДЗО  ПАО "Россети"</v>
      </c>
      <c r="B9" s="538"/>
      <c r="C9" s="538"/>
      <c r="D9" s="538"/>
      <c r="E9" s="538"/>
      <c r="F9" s="538"/>
      <c r="G9" s="538"/>
      <c r="H9" s="538"/>
      <c r="I9" s="538"/>
      <c r="J9" s="538"/>
      <c r="K9" s="538"/>
      <c r="L9" s="538"/>
    </row>
    <row r="10" spans="1:12" ht="15.75" x14ac:dyDescent="0.25">
      <c r="A10" s="452" t="s">
        <v>5</v>
      </c>
      <c r="B10" s="452"/>
      <c r="C10" s="452"/>
      <c r="D10" s="452"/>
      <c r="E10" s="452"/>
      <c r="F10" s="452"/>
      <c r="G10" s="452"/>
      <c r="H10" s="452"/>
      <c r="I10" s="452"/>
      <c r="J10" s="452"/>
      <c r="K10" s="452"/>
      <c r="L10" s="452"/>
    </row>
    <row r="11" spans="1:12" ht="18.75" x14ac:dyDescent="0.25">
      <c r="A11" s="455"/>
      <c r="B11" s="455"/>
      <c r="C11" s="455"/>
      <c r="D11" s="455"/>
      <c r="E11" s="455"/>
      <c r="F11" s="455"/>
      <c r="G11" s="455"/>
      <c r="H11" s="455"/>
      <c r="I11" s="455"/>
      <c r="J11" s="455"/>
      <c r="K11" s="455"/>
      <c r="L11" s="455"/>
    </row>
    <row r="12" spans="1:12" ht="15.75" x14ac:dyDescent="0.25">
      <c r="A12" s="451" t="str">
        <f>'1. паспорт местоположение'!A12:C12</f>
        <v>N_22-1297</v>
      </c>
      <c r="B12" s="451"/>
      <c r="C12" s="451"/>
      <c r="D12" s="451"/>
      <c r="E12" s="451"/>
      <c r="F12" s="451"/>
      <c r="G12" s="451"/>
      <c r="H12" s="451"/>
      <c r="I12" s="451"/>
      <c r="J12" s="451"/>
      <c r="K12" s="451"/>
      <c r="L12" s="451"/>
    </row>
    <row r="13" spans="1:12" ht="15.75" x14ac:dyDescent="0.25">
      <c r="A13" s="452" t="s">
        <v>4</v>
      </c>
      <c r="B13" s="452"/>
      <c r="C13" s="452"/>
      <c r="D13" s="452"/>
      <c r="E13" s="452"/>
      <c r="F13" s="452"/>
      <c r="G13" s="452"/>
      <c r="H13" s="452"/>
      <c r="I13" s="452"/>
      <c r="J13" s="452"/>
      <c r="K13" s="452"/>
      <c r="L13" s="452"/>
    </row>
    <row r="14" spans="1:12" ht="18.75" x14ac:dyDescent="0.25">
      <c r="A14" s="466"/>
      <c r="B14" s="466"/>
      <c r="C14" s="466"/>
      <c r="D14" s="466"/>
      <c r="E14" s="466"/>
      <c r="F14" s="466"/>
      <c r="G14" s="466"/>
      <c r="H14" s="466"/>
      <c r="I14" s="466"/>
      <c r="J14" s="466"/>
      <c r="K14" s="466"/>
      <c r="L14" s="466"/>
    </row>
    <row r="15" spans="1:12" ht="47.25" customHeight="1" x14ac:dyDescent="0.25">
      <c r="A15" s="539" t="str">
        <f>'1. паспорт местоположение'!A15:C15</f>
        <v>Разукрупнение сетей ВЛ 0,4 кВ от ТП 15/0,4 кВ 071-09 со строительством дополнительной СТП 15/0,4 кВ 63 кВА с переподключением части ВЛ 0,4 кВ от ТП 071-09 на вновь построенную ТП, строительство ВЛ 15 кВ протяженностью 760 м, ВЛИ 0,4 кВ протяженностью 35 м, реконструкция ВЛ 0,4 кВ от ТП 071-09 протяженностью 1136 м, демонтаж ВЛ 0,4 кВ от ТП 071-09 протяженностью 484 м в г. Мамоново</v>
      </c>
      <c r="B15" s="539"/>
      <c r="C15" s="539"/>
      <c r="D15" s="539"/>
      <c r="E15" s="539"/>
      <c r="F15" s="539"/>
      <c r="G15" s="539"/>
      <c r="H15" s="539"/>
      <c r="I15" s="539"/>
      <c r="J15" s="539"/>
      <c r="K15" s="539"/>
      <c r="L15" s="539"/>
    </row>
    <row r="16" spans="1:12" ht="15.75" x14ac:dyDescent="0.25">
      <c r="A16" s="452" t="s">
        <v>3</v>
      </c>
      <c r="B16" s="452"/>
      <c r="C16" s="452"/>
      <c r="D16" s="452"/>
      <c r="E16" s="452"/>
      <c r="F16" s="452"/>
      <c r="G16" s="452"/>
      <c r="H16" s="452"/>
      <c r="I16" s="452"/>
      <c r="J16" s="452"/>
      <c r="K16" s="452"/>
      <c r="L16" s="452"/>
    </row>
    <row r="17" spans="1:12" ht="15.75" x14ac:dyDescent="0.25">
      <c r="A17" s="49"/>
      <c r="B17" s="49"/>
      <c r="C17" s="49"/>
      <c r="D17" s="49"/>
      <c r="E17" s="49"/>
      <c r="F17" s="49"/>
      <c r="G17" s="49"/>
      <c r="H17" s="49"/>
      <c r="I17" s="49"/>
      <c r="J17" s="49"/>
      <c r="K17" s="49"/>
      <c r="L17" s="306"/>
    </row>
    <row r="18" spans="1:12" ht="15.75" x14ac:dyDescent="0.25">
      <c r="A18" s="49"/>
      <c r="B18" s="49"/>
      <c r="C18" s="49"/>
      <c r="D18" s="49"/>
      <c r="E18" s="49"/>
      <c r="F18" s="49"/>
      <c r="G18" s="49"/>
      <c r="H18" s="49"/>
      <c r="I18" s="49"/>
      <c r="J18" s="49"/>
      <c r="K18" s="36"/>
      <c r="L18" s="49"/>
    </row>
    <row r="19" spans="1:12" ht="15.75" customHeight="1" x14ac:dyDescent="0.25">
      <c r="A19" s="536" t="s">
        <v>426</v>
      </c>
      <c r="B19" s="536"/>
      <c r="C19" s="536"/>
      <c r="D19" s="536"/>
      <c r="E19" s="536"/>
      <c r="F19" s="536"/>
      <c r="G19" s="536"/>
      <c r="H19" s="536"/>
      <c r="I19" s="536"/>
      <c r="J19" s="536"/>
      <c r="K19" s="536"/>
      <c r="L19" s="536"/>
    </row>
    <row r="20" spans="1:12" ht="15.75" x14ac:dyDescent="0.25">
      <c r="A20" s="287"/>
      <c r="F20" s="289"/>
    </row>
    <row r="21" spans="1:12" ht="15" customHeight="1" x14ac:dyDescent="0.25">
      <c r="A21" s="531" t="s">
        <v>216</v>
      </c>
      <c r="B21" s="531" t="s">
        <v>215</v>
      </c>
      <c r="C21" s="537" t="s">
        <v>358</v>
      </c>
      <c r="D21" s="537"/>
      <c r="E21" s="537"/>
      <c r="F21" s="537"/>
      <c r="G21" s="537"/>
      <c r="H21" s="537"/>
      <c r="I21" s="540" t="s">
        <v>214</v>
      </c>
      <c r="J21" s="528" t="s">
        <v>360</v>
      </c>
      <c r="K21" s="531" t="s">
        <v>213</v>
      </c>
      <c r="L21" s="532" t="s">
        <v>359</v>
      </c>
    </row>
    <row r="22" spans="1:12" ht="36.75" customHeight="1" x14ac:dyDescent="0.25">
      <c r="A22" s="531"/>
      <c r="B22" s="531"/>
      <c r="C22" s="533" t="s">
        <v>1</v>
      </c>
      <c r="D22" s="533"/>
      <c r="E22" s="533" t="s">
        <v>8</v>
      </c>
      <c r="F22" s="533"/>
      <c r="G22" s="534" t="s">
        <v>508</v>
      </c>
      <c r="H22" s="535"/>
      <c r="I22" s="540"/>
      <c r="J22" s="529"/>
      <c r="K22" s="531"/>
      <c r="L22" s="532"/>
    </row>
    <row r="23" spans="1:12" ht="31.5" x14ac:dyDescent="0.25">
      <c r="A23" s="531"/>
      <c r="B23" s="531"/>
      <c r="C23" s="343" t="s">
        <v>212</v>
      </c>
      <c r="D23" s="343" t="s">
        <v>211</v>
      </c>
      <c r="E23" s="343" t="s">
        <v>212</v>
      </c>
      <c r="F23" s="343" t="s">
        <v>211</v>
      </c>
      <c r="G23" s="343" t="s">
        <v>212</v>
      </c>
      <c r="H23" s="343" t="s">
        <v>211</v>
      </c>
      <c r="I23" s="540"/>
      <c r="J23" s="530"/>
      <c r="K23" s="531"/>
      <c r="L23" s="532"/>
    </row>
    <row r="24" spans="1:12" ht="15.75" x14ac:dyDescent="0.25">
      <c r="A24" s="344">
        <v>1</v>
      </c>
      <c r="B24" s="344">
        <v>2</v>
      </c>
      <c r="C24" s="343">
        <v>3</v>
      </c>
      <c r="D24" s="343">
        <v>4</v>
      </c>
      <c r="E24" s="343">
        <v>5</v>
      </c>
      <c r="F24" s="343">
        <v>6</v>
      </c>
      <c r="G24" s="343">
        <v>7</v>
      </c>
      <c r="H24" s="343">
        <v>8</v>
      </c>
      <c r="I24" s="343">
        <v>9</v>
      </c>
      <c r="J24" s="343">
        <v>10</v>
      </c>
      <c r="K24" s="343">
        <v>11</v>
      </c>
      <c r="L24" s="343">
        <v>12</v>
      </c>
    </row>
    <row r="25" spans="1:12" ht="15.75" x14ac:dyDescent="0.25">
      <c r="A25" s="343">
        <v>1</v>
      </c>
      <c r="B25" s="345" t="s">
        <v>210</v>
      </c>
      <c r="C25" s="346"/>
      <c r="D25" s="346"/>
      <c r="E25" s="347"/>
      <c r="F25" s="347"/>
      <c r="G25" s="346"/>
      <c r="H25" s="346"/>
      <c r="I25" s="346"/>
      <c r="J25" s="347"/>
      <c r="K25" s="348"/>
      <c r="L25" s="349"/>
    </row>
    <row r="26" spans="1:12" ht="15.75" x14ac:dyDescent="0.25">
      <c r="A26" s="343" t="s">
        <v>209</v>
      </c>
      <c r="B26" s="350" t="s">
        <v>365</v>
      </c>
      <c r="C26" s="403" t="s">
        <v>459</v>
      </c>
      <c r="D26" s="403" t="s">
        <v>459</v>
      </c>
      <c r="E26" s="436" t="s">
        <v>459</v>
      </c>
      <c r="F26" s="436" t="s">
        <v>459</v>
      </c>
      <c r="G26" s="403" t="s">
        <v>459</v>
      </c>
      <c r="H26" s="403" t="s">
        <v>459</v>
      </c>
      <c r="I26" s="404"/>
      <c r="J26" s="347"/>
      <c r="K26" s="348"/>
      <c r="L26" s="348"/>
    </row>
    <row r="27" spans="1:12" ht="31.5" x14ac:dyDescent="0.25">
      <c r="A27" s="343" t="s">
        <v>208</v>
      </c>
      <c r="B27" s="350" t="s">
        <v>367</v>
      </c>
      <c r="C27" s="403" t="s">
        <v>459</v>
      </c>
      <c r="D27" s="403" t="s">
        <v>459</v>
      </c>
      <c r="E27" s="436" t="s">
        <v>459</v>
      </c>
      <c r="F27" s="436" t="s">
        <v>459</v>
      </c>
      <c r="G27" s="403" t="s">
        <v>459</v>
      </c>
      <c r="H27" s="403" t="s">
        <v>459</v>
      </c>
      <c r="I27" s="404"/>
      <c r="J27" s="347"/>
      <c r="K27" s="348"/>
      <c r="L27" s="348"/>
    </row>
    <row r="28" spans="1:12" ht="63" x14ac:dyDescent="0.25">
      <c r="A28" s="343" t="s">
        <v>366</v>
      </c>
      <c r="B28" s="350" t="s">
        <v>371</v>
      </c>
      <c r="C28" s="403" t="s">
        <v>459</v>
      </c>
      <c r="D28" s="403" t="s">
        <v>459</v>
      </c>
      <c r="E28" s="436" t="s">
        <v>459</v>
      </c>
      <c r="F28" s="436" t="s">
        <v>459</v>
      </c>
      <c r="G28" s="403" t="s">
        <v>459</v>
      </c>
      <c r="H28" s="403" t="s">
        <v>459</v>
      </c>
      <c r="I28" s="404"/>
      <c r="J28" s="347"/>
      <c r="K28" s="348"/>
      <c r="L28" s="348"/>
    </row>
    <row r="29" spans="1:12" ht="31.5" x14ac:dyDescent="0.25">
      <c r="A29" s="343" t="s">
        <v>207</v>
      </c>
      <c r="B29" s="350" t="s">
        <v>370</v>
      </c>
      <c r="C29" s="403" t="s">
        <v>459</v>
      </c>
      <c r="D29" s="403" t="s">
        <v>459</v>
      </c>
      <c r="E29" s="436" t="s">
        <v>459</v>
      </c>
      <c r="F29" s="436" t="s">
        <v>459</v>
      </c>
      <c r="G29" s="403" t="s">
        <v>459</v>
      </c>
      <c r="H29" s="403" t="s">
        <v>459</v>
      </c>
      <c r="I29" s="404"/>
      <c r="J29" s="347"/>
      <c r="K29" s="348"/>
      <c r="L29" s="348"/>
    </row>
    <row r="30" spans="1:12" ht="31.5" x14ac:dyDescent="0.25">
      <c r="A30" s="343" t="s">
        <v>206</v>
      </c>
      <c r="B30" s="350" t="s">
        <v>372</v>
      </c>
      <c r="C30" s="403" t="s">
        <v>459</v>
      </c>
      <c r="D30" s="403" t="s">
        <v>459</v>
      </c>
      <c r="E30" s="436" t="s">
        <v>459</v>
      </c>
      <c r="F30" s="436" t="s">
        <v>459</v>
      </c>
      <c r="G30" s="403" t="s">
        <v>459</v>
      </c>
      <c r="H30" s="403" t="s">
        <v>459</v>
      </c>
      <c r="I30" s="404"/>
      <c r="J30" s="347"/>
      <c r="K30" s="348"/>
      <c r="L30" s="348"/>
    </row>
    <row r="31" spans="1:12" ht="31.5" x14ac:dyDescent="0.25">
      <c r="A31" s="343" t="s">
        <v>205</v>
      </c>
      <c r="B31" s="352" t="s">
        <v>368</v>
      </c>
      <c r="C31" s="405">
        <v>45450</v>
      </c>
      <c r="D31" s="405">
        <v>45450</v>
      </c>
      <c r="E31" s="437">
        <v>45450</v>
      </c>
      <c r="F31" s="437">
        <v>45450</v>
      </c>
      <c r="G31" s="405">
        <v>45450</v>
      </c>
      <c r="H31" s="405">
        <v>45450</v>
      </c>
      <c r="I31" s="406">
        <v>100</v>
      </c>
      <c r="J31" s="347"/>
      <c r="K31" s="348"/>
      <c r="L31" s="348"/>
    </row>
    <row r="32" spans="1:12" ht="31.5" x14ac:dyDescent="0.25">
      <c r="A32" s="343" t="s">
        <v>203</v>
      </c>
      <c r="B32" s="352" t="s">
        <v>373</v>
      </c>
      <c r="C32" s="403">
        <v>45570</v>
      </c>
      <c r="D32" s="403">
        <v>45570</v>
      </c>
      <c r="E32" s="436">
        <v>45643</v>
      </c>
      <c r="F32" s="436">
        <v>45643</v>
      </c>
      <c r="G32" s="403">
        <v>45570</v>
      </c>
      <c r="H32" s="403">
        <v>45570</v>
      </c>
      <c r="I32" s="406">
        <v>100</v>
      </c>
      <c r="J32" s="406"/>
      <c r="K32" s="348"/>
      <c r="L32" s="348"/>
    </row>
    <row r="33" spans="1:12" ht="47.25" x14ac:dyDescent="0.25">
      <c r="A33" s="343" t="s">
        <v>384</v>
      </c>
      <c r="B33" s="352" t="s">
        <v>300</v>
      </c>
      <c r="C33" s="403" t="s">
        <v>459</v>
      </c>
      <c r="D33" s="403" t="s">
        <v>459</v>
      </c>
      <c r="E33" s="436" t="s">
        <v>459</v>
      </c>
      <c r="F33" s="436" t="s">
        <v>459</v>
      </c>
      <c r="G33" s="403" t="s">
        <v>459</v>
      </c>
      <c r="H33" s="403" t="s">
        <v>459</v>
      </c>
      <c r="I33" s="404"/>
      <c r="J33" s="347"/>
      <c r="K33" s="348"/>
      <c r="L33" s="348"/>
    </row>
    <row r="34" spans="1:12" ht="63" x14ac:dyDescent="0.25">
      <c r="A34" s="343" t="s">
        <v>385</v>
      </c>
      <c r="B34" s="352" t="s">
        <v>377</v>
      </c>
      <c r="C34" s="403" t="s">
        <v>459</v>
      </c>
      <c r="D34" s="403" t="s">
        <v>459</v>
      </c>
      <c r="E34" s="436" t="s">
        <v>459</v>
      </c>
      <c r="F34" s="436" t="s">
        <v>459</v>
      </c>
      <c r="G34" s="403" t="s">
        <v>459</v>
      </c>
      <c r="H34" s="403" t="s">
        <v>459</v>
      </c>
      <c r="I34" s="404"/>
      <c r="J34" s="353"/>
      <c r="K34" s="353"/>
      <c r="L34" s="348"/>
    </row>
    <row r="35" spans="1:12" ht="31.5" x14ac:dyDescent="0.25">
      <c r="A35" s="343" t="s">
        <v>386</v>
      </c>
      <c r="B35" s="352" t="s">
        <v>204</v>
      </c>
      <c r="C35" s="403">
        <v>45570</v>
      </c>
      <c r="D35" s="403">
        <v>45657</v>
      </c>
      <c r="E35" s="436">
        <v>45712</v>
      </c>
      <c r="F35" s="436">
        <v>45712</v>
      </c>
      <c r="G35" s="403">
        <v>45570</v>
      </c>
      <c r="H35" s="403">
        <v>45657</v>
      </c>
      <c r="I35" s="406">
        <v>100</v>
      </c>
      <c r="J35" s="406"/>
      <c r="K35" s="353"/>
      <c r="L35" s="348"/>
    </row>
    <row r="36" spans="1:12" ht="31.5" x14ac:dyDescent="0.25">
      <c r="A36" s="343" t="s">
        <v>387</v>
      </c>
      <c r="B36" s="352" t="s">
        <v>369</v>
      </c>
      <c r="C36" s="403" t="s">
        <v>459</v>
      </c>
      <c r="D36" s="403" t="s">
        <v>459</v>
      </c>
      <c r="E36" s="436" t="s">
        <v>459</v>
      </c>
      <c r="F36" s="436" t="s">
        <v>459</v>
      </c>
      <c r="G36" s="403" t="s">
        <v>459</v>
      </c>
      <c r="H36" s="403" t="s">
        <v>459</v>
      </c>
      <c r="I36" s="404"/>
      <c r="J36" s="354"/>
      <c r="K36" s="348"/>
      <c r="L36" s="348"/>
    </row>
    <row r="37" spans="1:12" ht="15.75" x14ac:dyDescent="0.25">
      <c r="A37" s="343" t="s">
        <v>388</v>
      </c>
      <c r="B37" s="352" t="s">
        <v>202</v>
      </c>
      <c r="C37" s="403">
        <v>45570</v>
      </c>
      <c r="D37" s="403">
        <v>45570</v>
      </c>
      <c r="E37" s="436">
        <v>45643</v>
      </c>
      <c r="F37" s="436">
        <v>45643</v>
      </c>
      <c r="G37" s="403">
        <v>45570</v>
      </c>
      <c r="H37" s="403">
        <v>45570</v>
      </c>
      <c r="I37" s="406">
        <v>100</v>
      </c>
      <c r="J37" s="406"/>
      <c r="K37" s="348"/>
      <c r="L37" s="348"/>
    </row>
    <row r="38" spans="1:12" ht="15.75" x14ac:dyDescent="0.25">
      <c r="A38" s="343" t="s">
        <v>389</v>
      </c>
      <c r="B38" s="345" t="s">
        <v>201</v>
      </c>
      <c r="C38" s="355"/>
      <c r="D38" s="348"/>
      <c r="E38" s="438"/>
      <c r="F38" s="439"/>
      <c r="G38" s="355"/>
      <c r="H38" s="348"/>
      <c r="I38" s="354"/>
      <c r="J38" s="348"/>
      <c r="K38" s="348"/>
      <c r="L38" s="348"/>
    </row>
    <row r="39" spans="1:12" ht="63" x14ac:dyDescent="0.25">
      <c r="A39" s="343">
        <v>2</v>
      </c>
      <c r="B39" s="352" t="s">
        <v>374</v>
      </c>
      <c r="C39" s="351">
        <v>45658</v>
      </c>
      <c r="D39" s="351">
        <v>45746</v>
      </c>
      <c r="E39" s="436">
        <v>45849</v>
      </c>
      <c r="F39" s="436">
        <v>45849</v>
      </c>
      <c r="G39" s="351">
        <v>45658</v>
      </c>
      <c r="H39" s="351">
        <v>45746</v>
      </c>
      <c r="I39" s="406">
        <v>100</v>
      </c>
      <c r="J39" s="406">
        <v>100</v>
      </c>
      <c r="K39" s="348"/>
      <c r="L39" s="348"/>
    </row>
    <row r="40" spans="1:12" ht="15.75" x14ac:dyDescent="0.25">
      <c r="A40" s="343" t="s">
        <v>200</v>
      </c>
      <c r="B40" s="352" t="s">
        <v>376</v>
      </c>
      <c r="C40" s="351" t="s">
        <v>459</v>
      </c>
      <c r="D40" s="351" t="s">
        <v>459</v>
      </c>
      <c r="E40" s="436" t="s">
        <v>459</v>
      </c>
      <c r="F40" s="436" t="s">
        <v>459</v>
      </c>
      <c r="G40" s="351" t="s">
        <v>459</v>
      </c>
      <c r="H40" s="351" t="s">
        <v>459</v>
      </c>
      <c r="I40" s="346"/>
      <c r="J40" s="348"/>
      <c r="K40" s="348"/>
      <c r="L40" s="348"/>
    </row>
    <row r="41" spans="1:12" ht="47.25" x14ac:dyDescent="0.25">
      <c r="A41" s="343" t="s">
        <v>199</v>
      </c>
      <c r="B41" s="345" t="s">
        <v>457</v>
      </c>
      <c r="C41" s="351"/>
      <c r="D41" s="351"/>
      <c r="E41" s="436"/>
      <c r="F41" s="436"/>
      <c r="G41" s="351"/>
      <c r="H41" s="351"/>
      <c r="I41" s="348"/>
      <c r="J41" s="348"/>
      <c r="K41" s="348"/>
      <c r="L41" s="348"/>
    </row>
    <row r="42" spans="1:12" ht="31.5" x14ac:dyDescent="0.25">
      <c r="A42" s="343">
        <v>3</v>
      </c>
      <c r="B42" s="352" t="s">
        <v>375</v>
      </c>
      <c r="C42" s="351" t="s">
        <v>459</v>
      </c>
      <c r="D42" s="351" t="s">
        <v>459</v>
      </c>
      <c r="E42" s="436" t="s">
        <v>459</v>
      </c>
      <c r="F42" s="436" t="s">
        <v>459</v>
      </c>
      <c r="G42" s="351" t="s">
        <v>459</v>
      </c>
      <c r="H42" s="351" t="s">
        <v>459</v>
      </c>
      <c r="I42" s="348"/>
      <c r="J42" s="348"/>
      <c r="K42" s="348"/>
      <c r="L42" s="348"/>
    </row>
    <row r="43" spans="1:12" ht="15.75" x14ac:dyDescent="0.25">
      <c r="A43" s="343" t="s">
        <v>198</v>
      </c>
      <c r="B43" s="352" t="s">
        <v>196</v>
      </c>
      <c r="C43" s="351" t="s">
        <v>459</v>
      </c>
      <c r="D43" s="351" t="s">
        <v>459</v>
      </c>
      <c r="E43" s="436" t="s">
        <v>459</v>
      </c>
      <c r="F43" s="436" t="s">
        <v>459</v>
      </c>
      <c r="G43" s="351" t="s">
        <v>459</v>
      </c>
      <c r="H43" s="351" t="s">
        <v>459</v>
      </c>
      <c r="I43" s="346"/>
      <c r="J43" s="348"/>
      <c r="K43" s="348"/>
      <c r="L43" s="348"/>
    </row>
    <row r="44" spans="1:12" ht="15.75" x14ac:dyDescent="0.25">
      <c r="A44" s="343" t="s">
        <v>197</v>
      </c>
      <c r="B44" s="352" t="s">
        <v>194</v>
      </c>
      <c r="C44" s="351">
        <v>45748</v>
      </c>
      <c r="D44" s="351">
        <v>45930</v>
      </c>
      <c r="E44" s="436">
        <v>45839</v>
      </c>
      <c r="F44" s="436">
        <v>45869</v>
      </c>
      <c r="G44" s="351">
        <v>45748</v>
      </c>
      <c r="H44" s="351">
        <v>45930</v>
      </c>
      <c r="I44" s="406">
        <v>100</v>
      </c>
      <c r="J44" s="406">
        <v>100</v>
      </c>
      <c r="K44" s="348"/>
      <c r="L44" s="348"/>
    </row>
    <row r="45" spans="1:12" ht="78.75" x14ac:dyDescent="0.25">
      <c r="A45" s="343" t="s">
        <v>195</v>
      </c>
      <c r="B45" s="352" t="s">
        <v>380</v>
      </c>
      <c r="C45" s="351" t="s">
        <v>459</v>
      </c>
      <c r="D45" s="351" t="s">
        <v>459</v>
      </c>
      <c r="E45" s="436" t="s">
        <v>459</v>
      </c>
      <c r="F45" s="436" t="s">
        <v>459</v>
      </c>
      <c r="G45" s="351" t="s">
        <v>459</v>
      </c>
      <c r="H45" s="351" t="s">
        <v>459</v>
      </c>
      <c r="I45" s="346"/>
      <c r="J45" s="348"/>
      <c r="K45" s="348"/>
      <c r="L45" s="348"/>
    </row>
    <row r="46" spans="1:12" ht="157.5" x14ac:dyDescent="0.25">
      <c r="A46" s="343" t="s">
        <v>193</v>
      </c>
      <c r="B46" s="352" t="s">
        <v>378</v>
      </c>
      <c r="C46" s="351" t="s">
        <v>459</v>
      </c>
      <c r="D46" s="351" t="s">
        <v>459</v>
      </c>
      <c r="E46" s="436" t="s">
        <v>459</v>
      </c>
      <c r="F46" s="436" t="s">
        <v>459</v>
      </c>
      <c r="G46" s="351" t="s">
        <v>459</v>
      </c>
      <c r="H46" s="351" t="s">
        <v>459</v>
      </c>
      <c r="I46" s="346"/>
      <c r="J46" s="348"/>
      <c r="K46" s="348"/>
      <c r="L46" s="348"/>
    </row>
    <row r="47" spans="1:12" ht="15.75" x14ac:dyDescent="0.25">
      <c r="A47" s="343" t="s">
        <v>191</v>
      </c>
      <c r="B47" s="352" t="s">
        <v>192</v>
      </c>
      <c r="C47" s="351">
        <v>45931</v>
      </c>
      <c r="D47" s="351">
        <v>46022</v>
      </c>
      <c r="E47" s="348"/>
      <c r="F47" s="348"/>
      <c r="G47" s="351">
        <v>45931</v>
      </c>
      <c r="H47" s="351">
        <v>46022</v>
      </c>
      <c r="I47" s="348"/>
      <c r="J47" s="348"/>
      <c r="K47" s="348"/>
      <c r="L47" s="348"/>
    </row>
    <row r="48" spans="1:12" ht="31.5" x14ac:dyDescent="0.25">
      <c r="A48" s="343" t="s">
        <v>390</v>
      </c>
      <c r="B48" s="345" t="s">
        <v>190</v>
      </c>
      <c r="C48" s="351"/>
      <c r="D48" s="351"/>
      <c r="E48" s="348"/>
      <c r="F48" s="348"/>
      <c r="G48" s="351"/>
      <c r="H48" s="351"/>
      <c r="I48" s="348"/>
      <c r="J48" s="348"/>
      <c r="K48" s="348"/>
      <c r="L48" s="348"/>
    </row>
    <row r="49" spans="1:12" ht="31.5" x14ac:dyDescent="0.25">
      <c r="A49" s="343">
        <v>4</v>
      </c>
      <c r="B49" s="352" t="s">
        <v>188</v>
      </c>
      <c r="C49" s="351">
        <v>45931</v>
      </c>
      <c r="D49" s="351">
        <v>46022</v>
      </c>
      <c r="E49" s="348"/>
      <c r="F49" s="348"/>
      <c r="G49" s="351">
        <v>45931</v>
      </c>
      <c r="H49" s="351">
        <v>46022</v>
      </c>
      <c r="I49" s="348"/>
      <c r="J49" s="348"/>
      <c r="K49" s="348"/>
      <c r="L49" s="348"/>
    </row>
    <row r="50" spans="1:12" ht="78.75" x14ac:dyDescent="0.25">
      <c r="A50" s="343" t="s">
        <v>189</v>
      </c>
      <c r="B50" s="352" t="s">
        <v>379</v>
      </c>
      <c r="C50" s="351">
        <v>45931</v>
      </c>
      <c r="D50" s="351">
        <v>46022</v>
      </c>
      <c r="E50" s="348"/>
      <c r="F50" s="348"/>
      <c r="G50" s="351">
        <v>45931</v>
      </c>
      <c r="H50" s="351">
        <v>46022</v>
      </c>
      <c r="I50" s="346"/>
      <c r="J50" s="348"/>
      <c r="K50" s="348"/>
      <c r="L50" s="348"/>
    </row>
    <row r="51" spans="1:12" ht="63" x14ac:dyDescent="0.25">
      <c r="A51" s="343" t="s">
        <v>187</v>
      </c>
      <c r="B51" s="352" t="s">
        <v>381</v>
      </c>
      <c r="C51" s="351" t="s">
        <v>459</v>
      </c>
      <c r="D51" s="351" t="s">
        <v>459</v>
      </c>
      <c r="E51" s="348"/>
      <c r="F51" s="348"/>
      <c r="G51" s="351" t="s">
        <v>459</v>
      </c>
      <c r="H51" s="351" t="s">
        <v>459</v>
      </c>
      <c r="I51" s="348"/>
      <c r="J51" s="348"/>
      <c r="K51" s="348"/>
      <c r="L51" s="348"/>
    </row>
    <row r="52" spans="1:12" ht="63" x14ac:dyDescent="0.25">
      <c r="A52" s="343" t="s">
        <v>185</v>
      </c>
      <c r="B52" s="352" t="s">
        <v>186</v>
      </c>
      <c r="C52" s="351" t="s">
        <v>459</v>
      </c>
      <c r="D52" s="351" t="s">
        <v>459</v>
      </c>
      <c r="E52" s="348"/>
      <c r="F52" s="348"/>
      <c r="G52" s="351" t="s">
        <v>459</v>
      </c>
      <c r="H52" s="351" t="s">
        <v>459</v>
      </c>
      <c r="I52" s="346"/>
      <c r="J52" s="348"/>
      <c r="K52" s="348"/>
      <c r="L52" s="348"/>
    </row>
    <row r="53" spans="1:12" ht="31.5" x14ac:dyDescent="0.25">
      <c r="A53" s="343" t="s">
        <v>183</v>
      </c>
      <c r="B53" s="94" t="s">
        <v>382</v>
      </c>
      <c r="C53" s="351">
        <v>45931</v>
      </c>
      <c r="D53" s="351">
        <v>46022</v>
      </c>
      <c r="E53" s="348"/>
      <c r="F53" s="348"/>
      <c r="G53" s="351">
        <v>45931</v>
      </c>
      <c r="H53" s="351">
        <v>46022</v>
      </c>
      <c r="I53" s="348"/>
      <c r="J53" s="348"/>
      <c r="K53" s="348"/>
      <c r="L53" s="348"/>
    </row>
    <row r="54" spans="1:12" ht="31.5" x14ac:dyDescent="0.25">
      <c r="A54" s="343" t="s">
        <v>383</v>
      </c>
      <c r="B54" s="352" t="s">
        <v>184</v>
      </c>
      <c r="C54" s="351" t="s">
        <v>459</v>
      </c>
      <c r="D54" s="351" t="s">
        <v>459</v>
      </c>
      <c r="E54" s="348"/>
      <c r="F54" s="348"/>
      <c r="G54" s="351" t="s">
        <v>459</v>
      </c>
      <c r="H54" s="351" t="s">
        <v>459</v>
      </c>
      <c r="I54" s="348"/>
      <c r="J54" s="348"/>
      <c r="K54" s="348"/>
      <c r="L54" s="348"/>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2025-11-10T07:59:05Z</dcterms:modified>
</cp:coreProperties>
</file>